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lafayettega-my.sharepoint.com/personal/dhamilton_lafga_org/Documents/Documentation/Water sewer rates/"/>
    </mc:Choice>
  </mc:AlternateContent>
  <xr:revisionPtr revIDLastSave="107" documentId="8_{CE5CCCB6-BCBA-417C-BC1F-34D21B98AE07}" xr6:coauthVersionLast="47" xr6:coauthVersionMax="47" xr10:uidLastSave="{9E3E99F5-0944-40E0-B5BA-386165654689}"/>
  <bookViews>
    <workbookView xWindow="-120" yWindow="-120" windowWidth="20730" windowHeight="11040" tabRatio="762" firstSheet="1" activeTab="4" xr2:uid="{00000000-000D-0000-FFFF-FFFF00000000}"/>
  </bookViews>
  <sheets>
    <sheet name="Comparison" sheetId="9" r:id="rId1"/>
    <sheet name="existing sewer" sheetId="2" r:id="rId2"/>
    <sheet name="Hydraulic flow" sheetId="8" r:id="rId3"/>
    <sheet name="proposed water" sheetId="3" r:id="rId4"/>
    <sheet name="proposed sewer" sheetId="4" r:id="rId5"/>
    <sheet name="Compare orig" sheetId="6" r:id="rId6"/>
    <sheet name="existing water" sheetId="1" r:id="rId7"/>
    <sheet name="Current vs new" sheetId="7" r:id="rId8"/>
  </sheets>
  <definedNames>
    <definedName name="_xlnm.Print_Area" localSheetId="5">'Compare orig'!$A$1:$O$63</definedName>
    <definedName name="_xlnm.Print_Titles" localSheetId="7">'Current vs new'!$1:$3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6" l="1"/>
  <c r="M48" i="6"/>
  <c r="M46" i="6"/>
  <c r="D53" i="7" l="1"/>
  <c r="M18" i="6"/>
  <c r="M20" i="6"/>
  <c r="M21" i="6"/>
  <c r="M32" i="6"/>
  <c r="M41" i="6"/>
  <c r="E46" i="1"/>
  <c r="E45" i="1"/>
  <c r="E44" i="2"/>
  <c r="E44" i="1"/>
  <c r="E40" i="1"/>
  <c r="E41" i="1"/>
  <c r="E42" i="1"/>
  <c r="E43" i="1"/>
  <c r="E45" i="2"/>
  <c r="E39" i="1"/>
  <c r="E34" i="1"/>
  <c r="E35" i="1"/>
  <c r="E36" i="1"/>
  <c r="E33" i="1"/>
  <c r="I46" i="7"/>
  <c r="G46" i="7"/>
  <c r="D46" i="7"/>
  <c r="J43" i="6"/>
  <c r="K43" i="6"/>
  <c r="E43" i="6"/>
  <c r="E44" i="4"/>
  <c r="E45" i="4"/>
  <c r="E40" i="4"/>
  <c r="E42" i="4"/>
  <c r="E43" i="4"/>
  <c r="D8" i="4"/>
  <c r="D9" i="4"/>
  <c r="D10" i="4"/>
  <c r="D7" i="4"/>
  <c r="D14" i="4"/>
  <c r="D15" i="4"/>
  <c r="D16" i="4"/>
  <c r="D17" i="4"/>
  <c r="D13" i="4"/>
  <c r="D21" i="4"/>
  <c r="D22" i="4"/>
  <c r="D23" i="4"/>
  <c r="D24" i="4"/>
  <c r="D25" i="4"/>
  <c r="D26" i="4"/>
  <c r="D27" i="4"/>
  <c r="D20" i="4"/>
  <c r="D52" i="4"/>
  <c r="I52" i="4" s="1"/>
  <c r="B47" i="3"/>
  <c r="B46" i="2"/>
  <c r="D45" i="2"/>
  <c r="I45" i="2" s="1"/>
  <c r="D44" i="2"/>
  <c r="I44" i="2" s="1"/>
  <c r="I46" i="1"/>
  <c r="F46" i="1"/>
  <c r="G46" i="1" s="1"/>
  <c r="H46" i="1" s="1"/>
  <c r="G53" i="7"/>
  <c r="E52" i="2"/>
  <c r="D52" i="2"/>
  <c r="I52" i="2" s="1"/>
  <c r="F53" i="1"/>
  <c r="G53" i="1" s="1"/>
  <c r="H53" i="1" s="1"/>
  <c r="I53" i="1"/>
  <c r="E53" i="7"/>
  <c r="E10" i="4"/>
  <c r="E9" i="4"/>
  <c r="E8" i="4"/>
  <c r="E7" i="4"/>
  <c r="E16" i="4"/>
  <c r="E15" i="4"/>
  <c r="E14" i="4"/>
  <c r="E13" i="4"/>
  <c r="E17" i="4"/>
  <c r="E20" i="4"/>
  <c r="E21" i="4"/>
  <c r="E22" i="4"/>
  <c r="E23" i="4"/>
  <c r="E24" i="4"/>
  <c r="E25" i="4"/>
  <c r="E26" i="4"/>
  <c r="E27" i="4"/>
  <c r="E48" i="4"/>
  <c r="E49" i="4"/>
  <c r="E50" i="4"/>
  <c r="E53" i="4"/>
  <c r="E54" i="4"/>
  <c r="E55" i="4"/>
  <c r="E52" i="4"/>
  <c r="E51" i="4"/>
  <c r="E50" i="6"/>
  <c r="D53" i="3"/>
  <c r="D50" i="6" s="1"/>
  <c r="G66" i="6"/>
  <c r="H67" i="6" s="1"/>
  <c r="E43" i="3"/>
  <c r="E42" i="3"/>
  <c r="E41" i="4" s="1"/>
  <c r="E41" i="3"/>
  <c r="E40" i="3"/>
  <c r="E39" i="4" s="1"/>
  <c r="E39" i="3"/>
  <c r="E38" i="4" s="1"/>
  <c r="E36" i="3"/>
  <c r="E35" i="4" s="1"/>
  <c r="E35" i="3"/>
  <c r="E34" i="4" s="1"/>
  <c r="E34" i="3"/>
  <c r="E33" i="4" s="1"/>
  <c r="E33" i="3"/>
  <c r="E32" i="4" s="1"/>
  <c r="F45" i="2" l="1"/>
  <c r="G45" i="2" s="1"/>
  <c r="H45" i="2" s="1"/>
  <c r="F44" i="2"/>
  <c r="G44" i="2" s="1"/>
  <c r="H44" i="2" s="1"/>
  <c r="G50" i="6"/>
  <c r="E46" i="7"/>
  <c r="G43" i="6"/>
  <c r="F53" i="7"/>
  <c r="H53" i="7" s="1"/>
  <c r="F53" i="3"/>
  <c r="I53" i="3"/>
  <c r="F52" i="2"/>
  <c r="F52" i="4"/>
  <c r="D40" i="3"/>
  <c r="D39" i="4" s="1"/>
  <c r="D41" i="3"/>
  <c r="D40" i="4" s="1"/>
  <c r="D42" i="3"/>
  <c r="D41" i="4" s="1"/>
  <c r="F41" i="4" s="1"/>
  <c r="D43" i="3"/>
  <c r="D39" i="3"/>
  <c r="D38" i="4" s="1"/>
  <c r="D34" i="3"/>
  <c r="D33" i="4" s="1"/>
  <c r="D35" i="3"/>
  <c r="D34" i="4" s="1"/>
  <c r="D36" i="3"/>
  <c r="D35" i="4" s="1"/>
  <c r="D33" i="3"/>
  <c r="D32" i="4" s="1"/>
  <c r="K19" i="3"/>
  <c r="K20" i="3"/>
  <c r="K21" i="3"/>
  <c r="K22" i="3"/>
  <c r="K23" i="3"/>
  <c r="K24" i="3"/>
  <c r="K25" i="3"/>
  <c r="K18" i="3"/>
  <c r="K12" i="3"/>
  <c r="K13" i="3"/>
  <c r="K14" i="3"/>
  <c r="K15" i="3"/>
  <c r="K11" i="3"/>
  <c r="K6" i="3"/>
  <c r="K7" i="3"/>
  <c r="K8" i="3"/>
  <c r="K5" i="3"/>
  <c r="D56" i="3"/>
  <c r="D55" i="4" s="1"/>
  <c r="D55" i="3"/>
  <c r="D54" i="4" s="1"/>
  <c r="D54" i="3"/>
  <c r="D53" i="4" s="1"/>
  <c r="D52" i="3"/>
  <c r="D51" i="4" s="1"/>
  <c r="D51" i="3"/>
  <c r="D50" i="4" s="1"/>
  <c r="D50" i="3"/>
  <c r="D49" i="4" s="1"/>
  <c r="D49" i="3"/>
  <c r="D48" i="4" s="1"/>
  <c r="E9" i="2"/>
  <c r="E8" i="2"/>
  <c r="E7" i="2"/>
  <c r="E10" i="2"/>
  <c r="E16" i="2"/>
  <c r="E15" i="2"/>
  <c r="E14" i="2"/>
  <c r="E13" i="2"/>
  <c r="E17" i="2"/>
  <c r="E26" i="2"/>
  <c r="E25" i="2"/>
  <c r="E24" i="2"/>
  <c r="E23" i="2"/>
  <c r="E22" i="2"/>
  <c r="E21" i="2"/>
  <c r="E20" i="2"/>
  <c r="E27" i="2"/>
  <c r="E34" i="2"/>
  <c r="E33" i="2"/>
  <c r="E32" i="2"/>
  <c r="E35" i="2"/>
  <c r="E42" i="2"/>
  <c r="E41" i="2"/>
  <c r="E40" i="2"/>
  <c r="E39" i="2"/>
  <c r="E38" i="2"/>
  <c r="E43" i="2"/>
  <c r="E48" i="2"/>
  <c r="E49" i="2"/>
  <c r="E50" i="2"/>
  <c r="E51" i="2"/>
  <c r="E53" i="2"/>
  <c r="E54" i="2"/>
  <c r="E55" i="2"/>
  <c r="D49" i="2"/>
  <c r="D50" i="2"/>
  <c r="D51" i="2"/>
  <c r="D53" i="2"/>
  <c r="D54" i="2"/>
  <c r="D55" i="2"/>
  <c r="D48" i="2"/>
  <c r="D39" i="2"/>
  <c r="D40" i="2"/>
  <c r="D41" i="2"/>
  <c r="D42" i="2"/>
  <c r="D43" i="2"/>
  <c r="D38" i="2"/>
  <c r="D33" i="2"/>
  <c r="D34" i="2"/>
  <c r="D35" i="2"/>
  <c r="D32" i="2"/>
  <c r="D27" i="2"/>
  <c r="D26" i="2"/>
  <c r="D25" i="2"/>
  <c r="D24" i="2"/>
  <c r="D23" i="2"/>
  <c r="D22" i="2"/>
  <c r="D21" i="2"/>
  <c r="D20" i="2"/>
  <c r="D17" i="2"/>
  <c r="D16" i="2"/>
  <c r="D15" i="2"/>
  <c r="D14" i="2"/>
  <c r="D13" i="2"/>
  <c r="D8" i="2"/>
  <c r="D9" i="2"/>
  <c r="D10" i="2"/>
  <c r="D7" i="2"/>
  <c r="D44" i="3" l="1"/>
  <c r="F44" i="7" s="1"/>
  <c r="D42" i="4"/>
  <c r="G52" i="4"/>
  <c r="H52" i="4" s="1"/>
  <c r="K50" i="6"/>
  <c r="G53" i="3"/>
  <c r="H53" i="3" s="1"/>
  <c r="N50" i="6" s="1"/>
  <c r="H50" i="6"/>
  <c r="I50" i="6" s="1"/>
  <c r="F50" i="6" s="1"/>
  <c r="J50" i="6"/>
  <c r="G52" i="2"/>
  <c r="H52" i="2" s="1"/>
  <c r="L10" i="8"/>
  <c r="L11" i="8"/>
  <c r="L12" i="8"/>
  <c r="L13" i="8"/>
  <c r="L14" i="8"/>
  <c r="L15" i="8"/>
  <c r="L16" i="8"/>
  <c r="L9" i="8"/>
  <c r="L8" i="8"/>
  <c r="L7" i="8"/>
  <c r="F28" i="7"/>
  <c r="F8" i="7"/>
  <c r="G11" i="7"/>
  <c r="G12" i="7"/>
  <c r="G13" i="7"/>
  <c r="G14" i="7"/>
  <c r="G15" i="7"/>
  <c r="G18" i="7"/>
  <c r="G19" i="7"/>
  <c r="G20" i="7"/>
  <c r="G21" i="7"/>
  <c r="G22" i="7"/>
  <c r="G23" i="7"/>
  <c r="G24" i="7"/>
  <c r="G25" i="7"/>
  <c r="G28" i="7"/>
  <c r="G49" i="7"/>
  <c r="G50" i="7"/>
  <c r="G51" i="7"/>
  <c r="G52" i="7"/>
  <c r="G54" i="7"/>
  <c r="G55" i="7"/>
  <c r="G56" i="7"/>
  <c r="F25" i="7"/>
  <c r="F24" i="7"/>
  <c r="F23" i="7"/>
  <c r="F22" i="7"/>
  <c r="F21" i="7"/>
  <c r="H21" i="7" s="1"/>
  <c r="F20" i="7"/>
  <c r="H20" i="7" s="1"/>
  <c r="F19" i="7"/>
  <c r="H19" i="7" s="1"/>
  <c r="F18" i="7"/>
  <c r="H18" i="7" s="1"/>
  <c r="F15" i="7"/>
  <c r="F14" i="7"/>
  <c r="F13" i="7"/>
  <c r="F12" i="7"/>
  <c r="F11" i="7"/>
  <c r="E11" i="7"/>
  <c r="E12" i="7"/>
  <c r="E13" i="7"/>
  <c r="E14" i="7"/>
  <c r="E15" i="7"/>
  <c r="E18" i="7"/>
  <c r="E19" i="7"/>
  <c r="E20" i="7"/>
  <c r="E21" i="7"/>
  <c r="E22" i="7"/>
  <c r="E23" i="7"/>
  <c r="E24" i="7"/>
  <c r="E25" i="7"/>
  <c r="E28" i="7"/>
  <c r="E33" i="7"/>
  <c r="E34" i="7"/>
  <c r="E35" i="7"/>
  <c r="E36" i="7"/>
  <c r="E39" i="7"/>
  <c r="E40" i="7"/>
  <c r="E41" i="7"/>
  <c r="E42" i="7"/>
  <c r="E43" i="7"/>
  <c r="E44" i="7"/>
  <c r="E45" i="7"/>
  <c r="E50" i="7"/>
  <c r="E51" i="7"/>
  <c r="E52" i="7"/>
  <c r="E54" i="7"/>
  <c r="E55" i="7"/>
  <c r="E56" i="7"/>
  <c r="E49" i="7"/>
  <c r="D56" i="7"/>
  <c r="D55" i="7"/>
  <c r="D54" i="7"/>
  <c r="D52" i="7"/>
  <c r="D51" i="7"/>
  <c r="D50" i="7"/>
  <c r="D49" i="7"/>
  <c r="D45" i="7"/>
  <c r="D44" i="7"/>
  <c r="D43" i="7"/>
  <c r="D42" i="7"/>
  <c r="D41" i="7"/>
  <c r="D40" i="7"/>
  <c r="D39" i="7"/>
  <c r="D36" i="7"/>
  <c r="D35" i="7"/>
  <c r="D34" i="7"/>
  <c r="D33" i="7"/>
  <c r="D28" i="7"/>
  <c r="D25" i="7"/>
  <c r="D24" i="7"/>
  <c r="D23" i="7"/>
  <c r="D22" i="7"/>
  <c r="D21" i="7"/>
  <c r="D20" i="7"/>
  <c r="D19" i="7"/>
  <c r="D18" i="7"/>
  <c r="D15" i="7"/>
  <c r="D14" i="7"/>
  <c r="D13" i="7"/>
  <c r="D12" i="7"/>
  <c r="D11" i="7"/>
  <c r="G6" i="7"/>
  <c r="G7" i="7"/>
  <c r="G8" i="7"/>
  <c r="G5" i="7"/>
  <c r="F6" i="7"/>
  <c r="F7" i="7"/>
  <c r="F5" i="7"/>
  <c r="E6" i="7"/>
  <c r="E7" i="7"/>
  <c r="E8" i="7"/>
  <c r="E5" i="7"/>
  <c r="D6" i="7"/>
  <c r="D7" i="7"/>
  <c r="D8" i="7"/>
  <c r="D5" i="7"/>
  <c r="B57" i="7"/>
  <c r="B37" i="7"/>
  <c r="B26" i="7"/>
  <c r="B16" i="7"/>
  <c r="B9" i="7"/>
  <c r="H22" i="7" l="1"/>
  <c r="H23" i="7"/>
  <c r="D45" i="3"/>
  <c r="D43" i="4"/>
  <c r="I43" i="4" s="1"/>
  <c r="O50" i="6"/>
  <c r="I53" i="7"/>
  <c r="L50" i="6"/>
  <c r="H7" i="7"/>
  <c r="H6" i="7"/>
  <c r="H8" i="7"/>
  <c r="B59" i="7"/>
  <c r="B61" i="7" s="1"/>
  <c r="H12" i="7"/>
  <c r="H24" i="7"/>
  <c r="H13" i="7"/>
  <c r="H5" i="7"/>
  <c r="H14" i="7"/>
  <c r="H15" i="7"/>
  <c r="H25" i="7"/>
  <c r="H11" i="7"/>
  <c r="H28" i="7"/>
  <c r="B30" i="7"/>
  <c r="D46" i="3" l="1"/>
  <c r="D44" i="4"/>
  <c r="F45" i="7"/>
  <c r="G45" i="7"/>
  <c r="I44" i="4" l="1"/>
  <c r="F44" i="4"/>
  <c r="G44" i="4" s="1"/>
  <c r="H44" i="4" s="1"/>
  <c r="I46" i="3"/>
  <c r="D43" i="6"/>
  <c r="D45" i="4"/>
  <c r="F46" i="3"/>
  <c r="F46" i="7"/>
  <c r="H46" i="7" s="1"/>
  <c r="H45" i="7"/>
  <c r="F36" i="7"/>
  <c r="F51" i="7"/>
  <c r="H51" i="7" s="1"/>
  <c r="G34" i="7"/>
  <c r="F35" i="7"/>
  <c r="H35" i="7" s="1"/>
  <c r="F50" i="7"/>
  <c r="H50" i="7" s="1"/>
  <c r="G39" i="7"/>
  <c r="F34" i="7"/>
  <c r="F40" i="7"/>
  <c r="H40" i="7" s="1"/>
  <c r="F54" i="7"/>
  <c r="H54" i="7" s="1"/>
  <c r="G36" i="7"/>
  <c r="G43" i="7"/>
  <c r="G44" i="7"/>
  <c r="H44" i="7" s="1"/>
  <c r="F42" i="7"/>
  <c r="F55" i="7"/>
  <c r="H55" i="7" s="1"/>
  <c r="G41" i="7"/>
  <c r="F41" i="7"/>
  <c r="G33" i="7"/>
  <c r="G40" i="7"/>
  <c r="F33" i="7"/>
  <c r="F43" i="7"/>
  <c r="H43" i="7" s="1"/>
  <c r="I42" i="4"/>
  <c r="F52" i="7"/>
  <c r="H52" i="7" s="1"/>
  <c r="F56" i="7"/>
  <c r="H56" i="7" s="1"/>
  <c r="G35" i="7"/>
  <c r="G42" i="7"/>
  <c r="D52" i="6"/>
  <c r="D51" i="6"/>
  <c r="D47" i="6"/>
  <c r="D41" i="6"/>
  <c r="D40" i="6"/>
  <c r="D37" i="6"/>
  <c r="D33" i="6"/>
  <c r="D31" i="6"/>
  <c r="D32" i="6"/>
  <c r="D30" i="6"/>
  <c r="D23" i="6"/>
  <c r="D22" i="6"/>
  <c r="D20" i="6"/>
  <c r="D19" i="6"/>
  <c r="D18" i="6"/>
  <c r="D17" i="6"/>
  <c r="D13" i="6"/>
  <c r="D12" i="6"/>
  <c r="D11" i="6"/>
  <c r="D10" i="6"/>
  <c r="D5" i="6"/>
  <c r="D6" i="6"/>
  <c r="D4" i="6"/>
  <c r="D53" i="6"/>
  <c r="D49" i="6"/>
  <c r="D48" i="6"/>
  <c r="D42" i="6"/>
  <c r="D39" i="6"/>
  <c r="D38" i="6"/>
  <c r="D21" i="6"/>
  <c r="E53" i="6"/>
  <c r="E52" i="6"/>
  <c r="E51" i="6"/>
  <c r="E49" i="6"/>
  <c r="E48" i="6"/>
  <c r="E47" i="6"/>
  <c r="E46" i="6"/>
  <c r="E42" i="6"/>
  <c r="E41" i="6"/>
  <c r="E40" i="6"/>
  <c r="E39" i="6"/>
  <c r="E38" i="6"/>
  <c r="E37" i="6"/>
  <c r="E36" i="6"/>
  <c r="E33" i="6"/>
  <c r="E32" i="6"/>
  <c r="E31" i="6"/>
  <c r="E30" i="6"/>
  <c r="E26" i="6"/>
  <c r="D26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4" i="6"/>
  <c r="E5" i="6"/>
  <c r="E6" i="6"/>
  <c r="E3" i="6"/>
  <c r="D3" i="6"/>
  <c r="H41" i="7" l="1"/>
  <c r="H42" i="7"/>
  <c r="H36" i="7"/>
  <c r="H34" i="7"/>
  <c r="H43" i="6"/>
  <c r="G46" i="3"/>
  <c r="H46" i="3" s="1"/>
  <c r="N43" i="6" s="1"/>
  <c r="I45" i="4"/>
  <c r="F45" i="4"/>
  <c r="G45" i="4" s="1"/>
  <c r="H45" i="4" s="1"/>
  <c r="H33" i="7"/>
  <c r="D16" i="6"/>
  <c r="D9" i="6"/>
  <c r="G47" i="6"/>
  <c r="G49" i="6"/>
  <c r="G51" i="6"/>
  <c r="G46" i="6"/>
  <c r="G38" i="6"/>
  <c r="G41" i="6"/>
  <c r="G32" i="6"/>
  <c r="K47" i="6"/>
  <c r="I50" i="7" s="1"/>
  <c r="K48" i="6"/>
  <c r="K49" i="6"/>
  <c r="K51" i="6"/>
  <c r="K52" i="6"/>
  <c r="K46" i="6"/>
  <c r="K31" i="6"/>
  <c r="K32" i="6"/>
  <c r="K33" i="6"/>
  <c r="K38" i="6"/>
  <c r="K40" i="6"/>
  <c r="K41" i="6"/>
  <c r="K42" i="6"/>
  <c r="G21" i="6"/>
  <c r="G20" i="6"/>
  <c r="G18" i="6"/>
  <c r="K18" i="6"/>
  <c r="I20" i="7" s="1"/>
  <c r="K20" i="6"/>
  <c r="K21" i="6"/>
  <c r="J47" i="6"/>
  <c r="J48" i="6"/>
  <c r="J49" i="6"/>
  <c r="J51" i="6"/>
  <c r="J52" i="6"/>
  <c r="J46" i="6"/>
  <c r="J38" i="6"/>
  <c r="J40" i="6"/>
  <c r="J41" i="6"/>
  <c r="J42" i="6"/>
  <c r="J31" i="6"/>
  <c r="J32" i="6"/>
  <c r="J33" i="6"/>
  <c r="J21" i="6"/>
  <c r="J20" i="6"/>
  <c r="J18" i="6"/>
  <c r="H51" i="6"/>
  <c r="H49" i="6"/>
  <c r="H47" i="6"/>
  <c r="H46" i="6"/>
  <c r="H41" i="6"/>
  <c r="H38" i="6"/>
  <c r="H32" i="6"/>
  <c r="I32" i="6" s="1"/>
  <c r="F32" i="6" s="1"/>
  <c r="H21" i="6"/>
  <c r="H20" i="6"/>
  <c r="H18" i="6"/>
  <c r="B54" i="6"/>
  <c r="B44" i="6"/>
  <c r="B34" i="6"/>
  <c r="B24" i="6"/>
  <c r="B14" i="6"/>
  <c r="B7" i="6"/>
  <c r="I43" i="6" l="1"/>
  <c r="F43" i="6" s="1"/>
  <c r="L43" i="6"/>
  <c r="M43" i="6" s="1"/>
  <c r="I49" i="7"/>
  <c r="I55" i="7"/>
  <c r="I36" i="7"/>
  <c r="I51" i="7"/>
  <c r="I22" i="7"/>
  <c r="F39" i="7"/>
  <c r="H39" i="7" s="1"/>
  <c r="I44" i="7"/>
  <c r="I35" i="7"/>
  <c r="I54" i="7"/>
  <c r="I41" i="7"/>
  <c r="I45" i="7"/>
  <c r="I23" i="7"/>
  <c r="I43" i="7"/>
  <c r="I34" i="7"/>
  <c r="I52" i="7"/>
  <c r="F49" i="7"/>
  <c r="H49" i="7" s="1"/>
  <c r="B56" i="6"/>
  <c r="D46" i="6"/>
  <c r="D36" i="6"/>
  <c r="L18" i="6"/>
  <c r="L32" i="6"/>
  <c r="L20" i="6"/>
  <c r="L47" i="6"/>
  <c r="L41" i="6"/>
  <c r="L21" i="6"/>
  <c r="L38" i="6"/>
  <c r="L46" i="6"/>
  <c r="L51" i="6"/>
  <c r="L49" i="6"/>
  <c r="B28" i="6"/>
  <c r="B58" i="6" s="1"/>
  <c r="F55" i="4" l="1"/>
  <c r="F39" i="4"/>
  <c r="F38" i="4"/>
  <c r="F32" i="4"/>
  <c r="F27" i="4"/>
  <c r="F26" i="4"/>
  <c r="F23" i="4"/>
  <c r="F21" i="4"/>
  <c r="F20" i="4"/>
  <c r="F17" i="4"/>
  <c r="F16" i="4"/>
  <c r="F15" i="4"/>
  <c r="F14" i="4"/>
  <c r="F13" i="4"/>
  <c r="F8" i="4"/>
  <c r="F9" i="4"/>
  <c r="F10" i="4"/>
  <c r="F7" i="4"/>
  <c r="I55" i="4"/>
  <c r="I41" i="4"/>
  <c r="I39" i="4"/>
  <c r="I38" i="4"/>
  <c r="I32" i="4"/>
  <c r="I27" i="4"/>
  <c r="I26" i="4"/>
  <c r="I25" i="4"/>
  <c r="G25" i="4"/>
  <c r="H25" i="4" s="1"/>
  <c r="I24" i="4"/>
  <c r="G24" i="4"/>
  <c r="H24" i="4" s="1"/>
  <c r="I23" i="4"/>
  <c r="I22" i="4"/>
  <c r="G22" i="4"/>
  <c r="H22" i="4" s="1"/>
  <c r="I21" i="4"/>
  <c r="I20" i="4"/>
  <c r="I17" i="4"/>
  <c r="I16" i="4"/>
  <c r="I15" i="4"/>
  <c r="I14" i="4"/>
  <c r="I13" i="4"/>
  <c r="I10" i="4"/>
  <c r="I9" i="4"/>
  <c r="I8" i="4"/>
  <c r="I7" i="4"/>
  <c r="I56" i="3"/>
  <c r="F56" i="3"/>
  <c r="I55" i="3"/>
  <c r="F55" i="3"/>
  <c r="I51" i="3"/>
  <c r="F51" i="3"/>
  <c r="I45" i="3"/>
  <c r="F45" i="3"/>
  <c r="I43" i="3"/>
  <c r="F43" i="3"/>
  <c r="I42" i="3"/>
  <c r="F42" i="3"/>
  <c r="H39" i="6" s="1"/>
  <c r="I39" i="6" s="1"/>
  <c r="F39" i="6" s="1"/>
  <c r="I40" i="3"/>
  <c r="F40" i="3"/>
  <c r="H37" i="6" s="1"/>
  <c r="I37" i="6" s="1"/>
  <c r="F37" i="6" s="1"/>
  <c r="I39" i="3"/>
  <c r="F39" i="3"/>
  <c r="H36" i="6" s="1"/>
  <c r="I36" i="6" s="1"/>
  <c r="I36" i="3"/>
  <c r="F36" i="3"/>
  <c r="H33" i="6" s="1"/>
  <c r="I35" i="3"/>
  <c r="G35" i="3"/>
  <c r="H35" i="3" s="1"/>
  <c r="I34" i="3"/>
  <c r="F34" i="3"/>
  <c r="I33" i="3"/>
  <c r="F33" i="3"/>
  <c r="I28" i="3"/>
  <c r="F28" i="3"/>
  <c r="I25" i="3"/>
  <c r="F25" i="3"/>
  <c r="I24" i="3"/>
  <c r="F24" i="3"/>
  <c r="H22" i="6" s="1"/>
  <c r="I22" i="6" s="1"/>
  <c r="F22" i="6" s="1"/>
  <c r="I21" i="3"/>
  <c r="F21" i="3"/>
  <c r="I19" i="3"/>
  <c r="F19" i="3"/>
  <c r="I18" i="3"/>
  <c r="F18" i="3"/>
  <c r="I11" i="3"/>
  <c r="F11" i="3"/>
  <c r="H9" i="6" s="1"/>
  <c r="I9" i="6" s="1"/>
  <c r="I15" i="3"/>
  <c r="F15" i="3"/>
  <c r="I14" i="3"/>
  <c r="F14" i="3"/>
  <c r="I13" i="3"/>
  <c r="F13" i="3"/>
  <c r="I12" i="3"/>
  <c r="F12" i="3"/>
  <c r="F6" i="3"/>
  <c r="I6" i="3"/>
  <c r="F7" i="3"/>
  <c r="I7" i="3"/>
  <c r="F8" i="3"/>
  <c r="I8" i="3"/>
  <c r="I5" i="3"/>
  <c r="F5" i="3"/>
  <c r="G39" i="3" l="1"/>
  <c r="H39" i="3" s="1"/>
  <c r="I28" i="4"/>
  <c r="I18" i="4"/>
  <c r="I11" i="4"/>
  <c r="G42" i="3"/>
  <c r="H42" i="3" s="1"/>
  <c r="G55" i="3"/>
  <c r="H55" i="3" s="1"/>
  <c r="H52" i="6"/>
  <c r="G51" i="3"/>
  <c r="H51" i="3" s="1"/>
  <c r="H48" i="6"/>
  <c r="G56" i="3"/>
  <c r="H56" i="3" s="1"/>
  <c r="H53" i="6"/>
  <c r="I53" i="6" s="1"/>
  <c r="F53" i="6" s="1"/>
  <c r="G45" i="3"/>
  <c r="H45" i="3" s="1"/>
  <c r="H42" i="6"/>
  <c r="G43" i="3"/>
  <c r="H43" i="3" s="1"/>
  <c r="H40" i="6"/>
  <c r="F36" i="6"/>
  <c r="G40" i="3"/>
  <c r="H40" i="3" s="1"/>
  <c r="G34" i="3"/>
  <c r="H34" i="3" s="1"/>
  <c r="H31" i="6"/>
  <c r="G33" i="3"/>
  <c r="H33" i="3" s="1"/>
  <c r="H30" i="6"/>
  <c r="I30" i="6" s="1"/>
  <c r="G36" i="3"/>
  <c r="H36" i="3" s="1"/>
  <c r="I33" i="6"/>
  <c r="F33" i="6" s="1"/>
  <c r="G28" i="3"/>
  <c r="H28" i="3" s="1"/>
  <c r="H26" i="6"/>
  <c r="G19" i="3"/>
  <c r="H19" i="3" s="1"/>
  <c r="H17" i="6"/>
  <c r="I17" i="6" s="1"/>
  <c r="F17" i="6" s="1"/>
  <c r="G25" i="3"/>
  <c r="H25" i="3" s="1"/>
  <c r="H23" i="6"/>
  <c r="I23" i="6" s="1"/>
  <c r="F23" i="6" s="1"/>
  <c r="G18" i="3"/>
  <c r="H18" i="3" s="1"/>
  <c r="H16" i="6"/>
  <c r="I16" i="6" s="1"/>
  <c r="G21" i="3"/>
  <c r="H21" i="3" s="1"/>
  <c r="H19" i="6"/>
  <c r="I19" i="6" s="1"/>
  <c r="F19" i="6" s="1"/>
  <c r="G24" i="3"/>
  <c r="H24" i="3" s="1"/>
  <c r="F9" i="6"/>
  <c r="G15" i="3"/>
  <c r="H15" i="3" s="1"/>
  <c r="H13" i="6"/>
  <c r="I13" i="6" s="1"/>
  <c r="F13" i="6" s="1"/>
  <c r="G11" i="3"/>
  <c r="H11" i="3" s="1"/>
  <c r="G12" i="3"/>
  <c r="H12" i="3" s="1"/>
  <c r="H10" i="6"/>
  <c r="I10" i="6" s="1"/>
  <c r="F10" i="6" s="1"/>
  <c r="G14" i="3"/>
  <c r="H14" i="3" s="1"/>
  <c r="H12" i="6"/>
  <c r="I12" i="6" s="1"/>
  <c r="F12" i="6" s="1"/>
  <c r="G13" i="3"/>
  <c r="H13" i="3" s="1"/>
  <c r="H11" i="6"/>
  <c r="I11" i="6" s="1"/>
  <c r="F11" i="6" s="1"/>
  <c r="G8" i="3"/>
  <c r="H8" i="3" s="1"/>
  <c r="H6" i="6"/>
  <c r="I6" i="6" s="1"/>
  <c r="F6" i="6" s="1"/>
  <c r="G7" i="3"/>
  <c r="H7" i="3" s="1"/>
  <c r="H5" i="6"/>
  <c r="I5" i="6" s="1"/>
  <c r="F5" i="6" s="1"/>
  <c r="G6" i="3"/>
  <c r="H6" i="3" s="1"/>
  <c r="H4" i="6"/>
  <c r="I4" i="6" s="1"/>
  <c r="F4" i="6" s="1"/>
  <c r="G5" i="3"/>
  <c r="H5" i="3" s="1"/>
  <c r="H3" i="6"/>
  <c r="I3" i="6" s="1"/>
  <c r="G27" i="4"/>
  <c r="H27" i="4" s="1"/>
  <c r="K23" i="6"/>
  <c r="G21" i="4"/>
  <c r="H21" i="4" s="1"/>
  <c r="K17" i="6"/>
  <c r="G8" i="4"/>
  <c r="H8" i="4" s="1"/>
  <c r="K4" i="6"/>
  <c r="G16" i="4"/>
  <c r="H16" i="4" s="1"/>
  <c r="K12" i="6"/>
  <c r="G26" i="4"/>
  <c r="H26" i="4" s="1"/>
  <c r="K22" i="6"/>
  <c r="G9" i="4"/>
  <c r="H9" i="4" s="1"/>
  <c r="K5" i="6"/>
  <c r="G23" i="4"/>
  <c r="H23" i="4" s="1"/>
  <c r="K19" i="6"/>
  <c r="G10" i="4"/>
  <c r="H10" i="4" s="1"/>
  <c r="K6" i="6"/>
  <c r="G14" i="4"/>
  <c r="H14" i="4" s="1"/>
  <c r="K10" i="6"/>
  <c r="G20" i="4"/>
  <c r="H20" i="4" s="1"/>
  <c r="K16" i="6"/>
  <c r="G32" i="4"/>
  <c r="H32" i="4" s="1"/>
  <c r="K30" i="6"/>
  <c r="G38" i="4"/>
  <c r="H38" i="4" s="1"/>
  <c r="K36" i="6"/>
  <c r="G15" i="4"/>
  <c r="H15" i="4" s="1"/>
  <c r="K11" i="6"/>
  <c r="G39" i="4"/>
  <c r="H39" i="4" s="1"/>
  <c r="K37" i="6"/>
  <c r="G7" i="4"/>
  <c r="H7" i="4" s="1"/>
  <c r="K3" i="6"/>
  <c r="G13" i="4"/>
  <c r="H13" i="4" s="1"/>
  <c r="K9" i="6"/>
  <c r="G17" i="4"/>
  <c r="H17" i="4" s="1"/>
  <c r="K13" i="6"/>
  <c r="G41" i="4"/>
  <c r="H41" i="4" s="1"/>
  <c r="K39" i="6"/>
  <c r="G55" i="4"/>
  <c r="H55" i="4" s="1"/>
  <c r="K53" i="6"/>
  <c r="I55" i="2"/>
  <c r="F55" i="2"/>
  <c r="J53" i="6" s="1"/>
  <c r="I54" i="2"/>
  <c r="G54" i="2"/>
  <c r="H54" i="2" s="1"/>
  <c r="O52" i="6" s="1"/>
  <c r="I53" i="2"/>
  <c r="G53" i="2"/>
  <c r="H53" i="2" s="1"/>
  <c r="I51" i="2"/>
  <c r="G51" i="2"/>
  <c r="H51" i="2" s="1"/>
  <c r="O49" i="6" s="1"/>
  <c r="I50" i="2"/>
  <c r="G50" i="2"/>
  <c r="H50" i="2" s="1"/>
  <c r="O48" i="6" s="1"/>
  <c r="I49" i="2"/>
  <c r="G49" i="2"/>
  <c r="H49" i="2" s="1"/>
  <c r="O47" i="6" s="1"/>
  <c r="I48" i="2"/>
  <c r="G48" i="2"/>
  <c r="H48" i="2" s="1"/>
  <c r="O46" i="6" s="1"/>
  <c r="I43" i="2"/>
  <c r="G43" i="2"/>
  <c r="H43" i="2" s="1"/>
  <c r="O41" i="6" s="1"/>
  <c r="I42" i="2"/>
  <c r="G42" i="2"/>
  <c r="H42" i="2" s="1"/>
  <c r="O40" i="6" s="1"/>
  <c r="I41" i="2"/>
  <c r="F41" i="2"/>
  <c r="J39" i="6" s="1"/>
  <c r="I40" i="2"/>
  <c r="G40" i="2"/>
  <c r="H40" i="2" s="1"/>
  <c r="O38" i="6" s="1"/>
  <c r="I39" i="2"/>
  <c r="F39" i="2"/>
  <c r="J37" i="6" s="1"/>
  <c r="I38" i="2"/>
  <c r="F38" i="2"/>
  <c r="J36" i="6" s="1"/>
  <c r="I35" i="2"/>
  <c r="G35" i="2"/>
  <c r="H35" i="2" s="1"/>
  <c r="O33" i="6" s="1"/>
  <c r="I34" i="2"/>
  <c r="G34" i="2"/>
  <c r="H34" i="2" s="1"/>
  <c r="O32" i="6" s="1"/>
  <c r="I33" i="2"/>
  <c r="G33" i="2"/>
  <c r="H33" i="2" s="1"/>
  <c r="O31" i="6" s="1"/>
  <c r="I32" i="2"/>
  <c r="F32" i="2"/>
  <c r="I27" i="2"/>
  <c r="F27" i="2"/>
  <c r="I26" i="2"/>
  <c r="F26" i="2"/>
  <c r="I25" i="2"/>
  <c r="G25" i="2"/>
  <c r="H25" i="2" s="1"/>
  <c r="O21" i="6" s="1"/>
  <c r="I24" i="2"/>
  <c r="G24" i="2"/>
  <c r="H24" i="2" s="1"/>
  <c r="O20" i="6" s="1"/>
  <c r="I23" i="2"/>
  <c r="F23" i="2"/>
  <c r="I22" i="2"/>
  <c r="G22" i="2"/>
  <c r="H22" i="2" s="1"/>
  <c r="O18" i="6" s="1"/>
  <c r="I21" i="2"/>
  <c r="F21" i="2"/>
  <c r="I20" i="2"/>
  <c r="F20" i="2"/>
  <c r="I17" i="2"/>
  <c r="F17" i="2"/>
  <c r="I16" i="2"/>
  <c r="F16" i="2"/>
  <c r="I15" i="2"/>
  <c r="F15" i="2"/>
  <c r="I14" i="2"/>
  <c r="F14" i="2"/>
  <c r="I13" i="2"/>
  <c r="F13" i="2"/>
  <c r="I10" i="2"/>
  <c r="F10" i="2"/>
  <c r="J6" i="6" s="1"/>
  <c r="I9" i="2"/>
  <c r="F9" i="2"/>
  <c r="J5" i="6" s="1"/>
  <c r="I8" i="2"/>
  <c r="F8" i="2"/>
  <c r="J4" i="6" s="1"/>
  <c r="I7" i="2"/>
  <c r="F7" i="2"/>
  <c r="J3" i="6" s="1"/>
  <c r="I56" i="1"/>
  <c r="F56" i="1"/>
  <c r="G53" i="6" s="1"/>
  <c r="I55" i="1"/>
  <c r="F55" i="1"/>
  <c r="G52" i="6" s="1"/>
  <c r="I54" i="1"/>
  <c r="G54" i="1"/>
  <c r="H54" i="1" s="1"/>
  <c r="I52" i="1"/>
  <c r="G52" i="1"/>
  <c r="H52" i="1" s="1"/>
  <c r="N49" i="6" s="1"/>
  <c r="I51" i="1"/>
  <c r="F51" i="1"/>
  <c r="G48" i="6" s="1"/>
  <c r="I50" i="1"/>
  <c r="G50" i="1"/>
  <c r="H50" i="1" s="1"/>
  <c r="N47" i="6" s="1"/>
  <c r="I49" i="1"/>
  <c r="G49" i="1"/>
  <c r="H49" i="1" s="1"/>
  <c r="I45" i="1"/>
  <c r="F45" i="1"/>
  <c r="G42" i="6" s="1"/>
  <c r="I44" i="1"/>
  <c r="G44" i="1"/>
  <c r="H44" i="1" s="1"/>
  <c r="N41" i="6" s="1"/>
  <c r="I43" i="1"/>
  <c r="F43" i="1"/>
  <c r="G40" i="6" s="1"/>
  <c r="I42" i="1"/>
  <c r="F42" i="1"/>
  <c r="G39" i="6" s="1"/>
  <c r="I41" i="1"/>
  <c r="G41" i="1"/>
  <c r="I40" i="1"/>
  <c r="F40" i="1"/>
  <c r="G37" i="6" s="1"/>
  <c r="I39" i="1"/>
  <c r="F39" i="1"/>
  <c r="G36" i="6" s="1"/>
  <c r="I36" i="1"/>
  <c r="F36" i="1"/>
  <c r="G33" i="6" s="1"/>
  <c r="L33" i="6" s="1"/>
  <c r="M33" i="6" s="1"/>
  <c r="I35" i="1"/>
  <c r="G35" i="1"/>
  <c r="H35" i="1" s="1"/>
  <c r="N32" i="6" s="1"/>
  <c r="I34" i="1"/>
  <c r="F34" i="1"/>
  <c r="G31" i="6" s="1"/>
  <c r="I33" i="1"/>
  <c r="F33" i="1"/>
  <c r="G30" i="6" s="1"/>
  <c r="I28" i="1"/>
  <c r="F28" i="1"/>
  <c r="F25" i="1"/>
  <c r="F24" i="1"/>
  <c r="G22" i="6" s="1"/>
  <c r="F21" i="1"/>
  <c r="G19" i="6" s="1"/>
  <c r="G20" i="1"/>
  <c r="H20" i="1" s="1"/>
  <c r="N18" i="6" s="1"/>
  <c r="F19" i="1"/>
  <c r="G17" i="6" s="1"/>
  <c r="F18" i="1"/>
  <c r="G16" i="6" s="1"/>
  <c r="I25" i="1"/>
  <c r="I24" i="1"/>
  <c r="I23" i="1"/>
  <c r="G23" i="1"/>
  <c r="H23" i="1" s="1"/>
  <c r="N21" i="6" s="1"/>
  <c r="I22" i="1"/>
  <c r="G22" i="1"/>
  <c r="H22" i="1" s="1"/>
  <c r="N20" i="6" s="1"/>
  <c r="I21" i="1"/>
  <c r="I20" i="1"/>
  <c r="I19" i="1"/>
  <c r="I18" i="1"/>
  <c r="I15" i="1"/>
  <c r="I14" i="1"/>
  <c r="I13" i="1"/>
  <c r="I12" i="1"/>
  <c r="I11" i="1"/>
  <c r="I7" i="1"/>
  <c r="I8" i="1"/>
  <c r="I6" i="1"/>
  <c r="I5" i="1"/>
  <c r="F15" i="1"/>
  <c r="G13" i="6" s="1"/>
  <c r="F14" i="1"/>
  <c r="G12" i="6" s="1"/>
  <c r="F13" i="1"/>
  <c r="G11" i="6" s="1"/>
  <c r="F12" i="1"/>
  <c r="G10" i="6" s="1"/>
  <c r="F11" i="1"/>
  <c r="G9" i="6" s="1"/>
  <c r="F7" i="1"/>
  <c r="G5" i="6" s="1"/>
  <c r="F8" i="1"/>
  <c r="G6" i="6" s="1"/>
  <c r="F6" i="1"/>
  <c r="G4" i="6" s="1"/>
  <c r="F5" i="1"/>
  <c r="G3" i="6" s="1"/>
  <c r="B9" i="1"/>
  <c r="B56" i="4"/>
  <c r="B46" i="4"/>
  <c r="B36" i="4"/>
  <c r="B28" i="4"/>
  <c r="B18" i="4"/>
  <c r="B11" i="4"/>
  <c r="I57" i="3"/>
  <c r="B57" i="3"/>
  <c r="I47" i="3"/>
  <c r="I37" i="3"/>
  <c r="B37" i="3"/>
  <c r="I26" i="3"/>
  <c r="B26" i="3"/>
  <c r="I16" i="3"/>
  <c r="B16" i="3"/>
  <c r="I9" i="3"/>
  <c r="B9" i="3"/>
  <c r="B58" i="2"/>
  <c r="B36" i="2"/>
  <c r="B28" i="2"/>
  <c r="B18" i="2"/>
  <c r="B11" i="2"/>
  <c r="B57" i="1"/>
  <c r="B37" i="1"/>
  <c r="B16" i="1"/>
  <c r="B26" i="1"/>
  <c r="O51" i="6" l="1"/>
  <c r="B59" i="1"/>
  <c r="N51" i="6"/>
  <c r="B30" i="3"/>
  <c r="I42" i="7"/>
  <c r="G18" i="1"/>
  <c r="H18" i="1" s="1"/>
  <c r="N16" i="6" s="1"/>
  <c r="I18" i="2"/>
  <c r="I8" i="7"/>
  <c r="I40" i="7"/>
  <c r="I7" i="7"/>
  <c r="I39" i="7"/>
  <c r="G43" i="1"/>
  <c r="H43" i="1" s="1"/>
  <c r="N40" i="6" s="1"/>
  <c r="B58" i="4"/>
  <c r="B60" i="4" s="1"/>
  <c r="B30" i="2"/>
  <c r="B60" i="2" s="1"/>
  <c r="B30" i="4"/>
  <c r="G21" i="1"/>
  <c r="H21" i="1" s="1"/>
  <c r="N19" i="6" s="1"/>
  <c r="I56" i="7"/>
  <c r="I5" i="7"/>
  <c r="I6" i="7"/>
  <c r="G55" i="2"/>
  <c r="H55" i="2" s="1"/>
  <c r="O53" i="6" s="1"/>
  <c r="I28" i="2"/>
  <c r="I11" i="2"/>
  <c r="G8" i="1"/>
  <c r="H8" i="1" s="1"/>
  <c r="N6" i="6" s="1"/>
  <c r="I57" i="1"/>
  <c r="G42" i="1"/>
  <c r="H42" i="1" s="1"/>
  <c r="N39" i="6" s="1"/>
  <c r="I47" i="1"/>
  <c r="G24" i="1"/>
  <c r="H24" i="1" s="1"/>
  <c r="N22" i="6" s="1"/>
  <c r="I26" i="1"/>
  <c r="G19" i="1"/>
  <c r="H19" i="1" s="1"/>
  <c r="N17" i="6" s="1"/>
  <c r="G15" i="1"/>
  <c r="H15" i="1" s="1"/>
  <c r="N13" i="6" s="1"/>
  <c r="G13" i="1"/>
  <c r="H13" i="1" s="1"/>
  <c r="N11" i="6" s="1"/>
  <c r="N46" i="6"/>
  <c r="G13" i="2"/>
  <c r="H13" i="2" s="1"/>
  <c r="J9" i="6"/>
  <c r="L9" i="6" s="1"/>
  <c r="M9" i="6" s="1"/>
  <c r="G23" i="2"/>
  <c r="H23" i="2" s="1"/>
  <c r="O19" i="6" s="1"/>
  <c r="J19" i="6"/>
  <c r="I21" i="7" s="1"/>
  <c r="L5" i="6"/>
  <c r="M5" i="6" s="1"/>
  <c r="G7" i="1"/>
  <c r="H7" i="1" s="1"/>
  <c r="N5" i="6" s="1"/>
  <c r="G12" i="1"/>
  <c r="H12" i="1" s="1"/>
  <c r="N10" i="6" s="1"/>
  <c r="G39" i="1"/>
  <c r="H39" i="1" s="1"/>
  <c r="N36" i="6" s="1"/>
  <c r="G40" i="1"/>
  <c r="H40" i="1" s="1"/>
  <c r="N37" i="6" s="1"/>
  <c r="H41" i="1"/>
  <c r="N38" i="6" s="1"/>
  <c r="G55" i="1"/>
  <c r="H55" i="1" s="1"/>
  <c r="N52" i="6" s="1"/>
  <c r="G56" i="1"/>
  <c r="H56" i="1" s="1"/>
  <c r="N53" i="6" s="1"/>
  <c r="G7" i="2"/>
  <c r="G8" i="2"/>
  <c r="H8" i="2" s="1"/>
  <c r="O4" i="6" s="1"/>
  <c r="G9" i="2"/>
  <c r="H9" i="2" s="1"/>
  <c r="O5" i="6" s="1"/>
  <c r="G10" i="2"/>
  <c r="H10" i="2" s="1"/>
  <c r="O6" i="6" s="1"/>
  <c r="G41" i="2"/>
  <c r="H41" i="2" s="1"/>
  <c r="O39" i="6" s="1"/>
  <c r="G15" i="2"/>
  <c r="H15" i="2" s="1"/>
  <c r="O11" i="6" s="1"/>
  <c r="J11" i="6"/>
  <c r="L11" i="6" s="1"/>
  <c r="M11" i="6" s="1"/>
  <c r="G21" i="2"/>
  <c r="H21" i="2" s="1"/>
  <c r="O17" i="6" s="1"/>
  <c r="J17" i="6"/>
  <c r="L17" i="6" s="1"/>
  <c r="M17" i="6" s="1"/>
  <c r="G27" i="2"/>
  <c r="H27" i="2" s="1"/>
  <c r="O23" i="6" s="1"/>
  <c r="J23" i="6"/>
  <c r="I25" i="7" s="1"/>
  <c r="L37" i="6"/>
  <c r="M37" i="6" s="1"/>
  <c r="B59" i="3"/>
  <c r="B61" i="3" s="1"/>
  <c r="G5" i="1"/>
  <c r="H5" i="1" s="1"/>
  <c r="N3" i="6" s="1"/>
  <c r="G11" i="1"/>
  <c r="G14" i="1"/>
  <c r="H14" i="1" s="1"/>
  <c r="N12" i="6" s="1"/>
  <c r="G36" i="1"/>
  <c r="H36" i="1" s="1"/>
  <c r="N33" i="6" s="1"/>
  <c r="G45" i="1"/>
  <c r="H45" i="1" s="1"/>
  <c r="N42" i="6" s="1"/>
  <c r="G14" i="2"/>
  <c r="H14" i="2" s="1"/>
  <c r="O10" i="6" s="1"/>
  <c r="J10" i="6"/>
  <c r="I12" i="7" s="1"/>
  <c r="G16" i="2"/>
  <c r="H16" i="2" s="1"/>
  <c r="O12" i="6" s="1"/>
  <c r="J12" i="6"/>
  <c r="L12" i="6" s="1"/>
  <c r="M12" i="6" s="1"/>
  <c r="G20" i="2"/>
  <c r="H20" i="2" s="1"/>
  <c r="J16" i="6"/>
  <c r="I18" i="7" s="1"/>
  <c r="G26" i="2"/>
  <c r="H26" i="2" s="1"/>
  <c r="O22" i="6" s="1"/>
  <c r="J22" i="6"/>
  <c r="L22" i="6" s="1"/>
  <c r="M22" i="6" s="1"/>
  <c r="G32" i="2"/>
  <c r="G36" i="2" s="1"/>
  <c r="J30" i="6"/>
  <c r="L30" i="6" s="1"/>
  <c r="M30" i="6" s="1"/>
  <c r="L4" i="6"/>
  <c r="M4" i="6" s="1"/>
  <c r="G28" i="1"/>
  <c r="H28" i="1" s="1"/>
  <c r="N26" i="6" s="1"/>
  <c r="G26" i="6"/>
  <c r="L26" i="6" s="1"/>
  <c r="M26" i="6" s="1"/>
  <c r="G17" i="2"/>
  <c r="H17" i="2" s="1"/>
  <c r="O13" i="6" s="1"/>
  <c r="J13" i="6"/>
  <c r="L13" i="6" s="1"/>
  <c r="M13" i="6" s="1"/>
  <c r="L39" i="6"/>
  <c r="M39" i="6" s="1"/>
  <c r="L36" i="6"/>
  <c r="M36" i="6" s="1"/>
  <c r="B30" i="1"/>
  <c r="B61" i="1" s="1"/>
  <c r="G6" i="1"/>
  <c r="H6" i="1" s="1"/>
  <c r="N4" i="6" s="1"/>
  <c r="I16" i="1"/>
  <c r="G25" i="1"/>
  <c r="H25" i="1" s="1"/>
  <c r="N23" i="6" s="1"/>
  <c r="G23" i="6"/>
  <c r="I37" i="1"/>
  <c r="G51" i="1"/>
  <c r="G38" i="2"/>
  <c r="H38" i="2" s="1"/>
  <c r="O36" i="6" s="1"/>
  <c r="G39" i="2"/>
  <c r="H39" i="2" s="1"/>
  <c r="O37" i="6" s="1"/>
  <c r="L53" i="6"/>
  <c r="I30" i="4"/>
  <c r="G36" i="4"/>
  <c r="G33" i="1"/>
  <c r="G34" i="1"/>
  <c r="H34" i="1" s="1"/>
  <c r="N31" i="6" s="1"/>
  <c r="G46" i="4"/>
  <c r="H57" i="3"/>
  <c r="H36" i="4"/>
  <c r="H47" i="3"/>
  <c r="G56" i="4"/>
  <c r="G16" i="3"/>
  <c r="G47" i="3"/>
  <c r="H26" i="3"/>
  <c r="H11" i="4"/>
  <c r="I59" i="3"/>
  <c r="H56" i="4"/>
  <c r="L6" i="6"/>
  <c r="M6" i="6" s="1"/>
  <c r="I30" i="3"/>
  <c r="H9" i="3"/>
  <c r="G26" i="3"/>
  <c r="I52" i="6"/>
  <c r="F52" i="6" s="1"/>
  <c r="L52" i="6"/>
  <c r="G57" i="3"/>
  <c r="I48" i="6"/>
  <c r="L48" i="6"/>
  <c r="I40" i="6"/>
  <c r="L40" i="6"/>
  <c r="M40" i="6" s="1"/>
  <c r="I42" i="6"/>
  <c r="F42" i="6" s="1"/>
  <c r="L42" i="6"/>
  <c r="M42" i="6" s="1"/>
  <c r="H37" i="3"/>
  <c r="I31" i="6"/>
  <c r="F31" i="6" s="1"/>
  <c r="L31" i="6"/>
  <c r="M31" i="6" s="1"/>
  <c r="F30" i="6"/>
  <c r="G37" i="3"/>
  <c r="I26" i="6"/>
  <c r="F26" i="6" s="1"/>
  <c r="F16" i="6"/>
  <c r="F24" i="6" s="1"/>
  <c r="I24" i="6"/>
  <c r="F14" i="6"/>
  <c r="I14" i="6"/>
  <c r="H16" i="3"/>
  <c r="G9" i="3"/>
  <c r="G18" i="4"/>
  <c r="H28" i="4"/>
  <c r="G11" i="4"/>
  <c r="H18" i="4"/>
  <c r="G28" i="4"/>
  <c r="H46" i="4"/>
  <c r="F3" i="6"/>
  <c r="F7" i="6" s="1"/>
  <c r="I7" i="6"/>
  <c r="L3" i="6"/>
  <c r="M3" i="6" s="1"/>
  <c r="I9" i="1"/>
  <c r="I30" i="1" l="1"/>
  <c r="G58" i="4"/>
  <c r="H56" i="2"/>
  <c r="L19" i="6"/>
  <c r="M19" i="6" s="1"/>
  <c r="I15" i="7"/>
  <c r="L10" i="6"/>
  <c r="M10" i="6" s="1"/>
  <c r="I33" i="7"/>
  <c r="I19" i="7"/>
  <c r="I24" i="7"/>
  <c r="I13" i="7"/>
  <c r="I14" i="7"/>
  <c r="G26" i="1"/>
  <c r="H32" i="2"/>
  <c r="H36" i="2" s="1"/>
  <c r="L16" i="6"/>
  <c r="M16" i="6" s="1"/>
  <c r="I30" i="2"/>
  <c r="I11" i="7"/>
  <c r="L23" i="6"/>
  <c r="M23" i="6" s="1"/>
  <c r="G46" i="2"/>
  <c r="G56" i="2"/>
  <c r="H46" i="2"/>
  <c r="H18" i="2"/>
  <c r="G18" i="2"/>
  <c r="I59" i="1"/>
  <c r="H26" i="1"/>
  <c r="H9" i="1"/>
  <c r="H28" i="2"/>
  <c r="O16" i="6"/>
  <c r="G9" i="1"/>
  <c r="G11" i="2"/>
  <c r="H7" i="2"/>
  <c r="G47" i="1"/>
  <c r="G28" i="2"/>
  <c r="H11" i="1"/>
  <c r="G16" i="1"/>
  <c r="H47" i="1"/>
  <c r="H51" i="1"/>
  <c r="G57" i="1"/>
  <c r="O9" i="6"/>
  <c r="H59" i="3"/>
  <c r="G37" i="1"/>
  <c r="H33" i="1"/>
  <c r="G30" i="4"/>
  <c r="G59" i="3"/>
  <c r="I61" i="3"/>
  <c r="H30" i="3"/>
  <c r="H58" i="4"/>
  <c r="H30" i="4"/>
  <c r="G30" i="3"/>
  <c r="F48" i="6"/>
  <c r="F54" i="6" s="1"/>
  <c r="I54" i="6"/>
  <c r="F40" i="6"/>
  <c r="F44" i="6" s="1"/>
  <c r="I44" i="6"/>
  <c r="F34" i="6"/>
  <c r="I34" i="6"/>
  <c r="I28" i="6"/>
  <c r="F28" i="6"/>
  <c r="I61" i="1" l="1"/>
  <c r="G58" i="2"/>
  <c r="G60" i="4"/>
  <c r="H58" i="2"/>
  <c r="O30" i="6"/>
  <c r="G30" i="1"/>
  <c r="G30" i="2"/>
  <c r="G59" i="1"/>
  <c r="N48" i="6"/>
  <c r="H57" i="1"/>
  <c r="H16" i="1"/>
  <c r="H30" i="1" s="1"/>
  <c r="N9" i="6"/>
  <c r="H11" i="2"/>
  <c r="H30" i="2" s="1"/>
  <c r="O3" i="6"/>
  <c r="I56" i="6"/>
  <c r="I58" i="6" s="1"/>
  <c r="H60" i="4"/>
  <c r="H61" i="3"/>
  <c r="H37" i="1"/>
  <c r="N30" i="6"/>
  <c r="G61" i="3"/>
  <c r="F56" i="6"/>
  <c r="F58" i="6" s="1"/>
  <c r="G60" i="2" l="1"/>
  <c r="H60" i="2"/>
  <c r="E62" i="6" s="1"/>
  <c r="O58" i="6"/>
  <c r="H59" i="1"/>
  <c r="H61" i="1" s="1"/>
  <c r="E61" i="6" s="1"/>
  <c r="N58" i="6"/>
  <c r="G61" i="1"/>
  <c r="N61" i="6" l="1"/>
  <c r="E63" i="6"/>
</calcChain>
</file>

<file path=xl/sharedStrings.xml><?xml version="1.0" encoding="utf-8"?>
<sst xmlns="http://schemas.openxmlformats.org/spreadsheetml/2006/main" count="533" uniqueCount="251">
  <si>
    <t>residential inside city 3/4</t>
  </si>
  <si>
    <t xml:space="preserve">Average Monthly </t>
  </si>
  <si>
    <t>Residental Inside City 1"</t>
  </si>
  <si>
    <t>Residental Inside City l l/2"</t>
  </si>
  <si>
    <t>Residental Inside City Limits 2"</t>
  </si>
  <si>
    <t>Commercial Inside City Limits 3/4"</t>
  </si>
  <si>
    <t>Commercial Inside City  Limits 1"</t>
  </si>
  <si>
    <t>Commercial Inside City Limits 1 1/2"</t>
  </si>
  <si>
    <t>Commercial Inside City Limits 2"</t>
  </si>
  <si>
    <t>Commercial Inside City Limits 3"</t>
  </si>
  <si>
    <t>Industrial Inside City Limits 3/4"</t>
  </si>
  <si>
    <t>Industrial Inside City Limits 1 1/2"</t>
  </si>
  <si>
    <t>Industrial Inside City Limits 2"</t>
  </si>
  <si>
    <t>Industrial Inside City Limits 3"</t>
  </si>
  <si>
    <t>Industrial Inside City Limits 4"</t>
  </si>
  <si>
    <t>Industrial Inside City Limits 6"</t>
  </si>
  <si>
    <t>Industrial Inside City Limits 8"  (Roper)</t>
  </si>
  <si>
    <t>Irrigation Inside City Limits</t>
  </si>
  <si>
    <t>Residental Outside City Limits 3/4"</t>
  </si>
  <si>
    <t>Residental Outside City Limits 1"</t>
  </si>
  <si>
    <t>Residental Outside City Limits 1 1/2"</t>
  </si>
  <si>
    <t>Residental Outside City Limits 2"</t>
  </si>
  <si>
    <t>Commerical Outside City Limits 3/4"</t>
  </si>
  <si>
    <t>Commerical Outside City Limits 1"</t>
  </si>
  <si>
    <t>Commercial Outside City Limits 1 1/2"</t>
  </si>
  <si>
    <t>Commercial Outside City Limits 2"</t>
  </si>
  <si>
    <t>Commercial Outside City Limits 3"</t>
  </si>
  <si>
    <t>Commercial Outside City Limits 4"</t>
  </si>
  <si>
    <t>Commercial Outside City Limits 6"</t>
  </si>
  <si>
    <t>Industrial Outside City Limits 3/4"</t>
  </si>
  <si>
    <t>Industrial Outside City Limits 1"</t>
  </si>
  <si>
    <t>Industrial Outside City Limits 1 1/2"</t>
  </si>
  <si>
    <t>Industrial Outside City Limits 2"</t>
  </si>
  <si>
    <t>Industrial Outside City Limits 4"</t>
  </si>
  <si>
    <t>Industrial Outside City Limits 6"</t>
  </si>
  <si>
    <t>Industrial Outside City Limits 8"</t>
  </si>
  <si>
    <t>Customer Type</t>
  </si>
  <si>
    <t>Residental Inside City Limits 3/4"</t>
  </si>
  <si>
    <t>Residental Inside City Limits 1"</t>
  </si>
  <si>
    <t>Residental Inside City Limits 1 1/2 '</t>
  </si>
  <si>
    <t>Commerical Inside City Limits 1"</t>
  </si>
  <si>
    <t>Commerical Inside City Limits 2"</t>
  </si>
  <si>
    <t>Industrial inside City Limits 1"</t>
  </si>
  <si>
    <t>Industrial Inside City Limits 8" Roper</t>
  </si>
  <si>
    <t>Commercial Outside City Limits 3/4"</t>
  </si>
  <si>
    <t>Commercial Outside City Limits 1"</t>
  </si>
  <si>
    <t>Residential Inside City Limits 3/4"</t>
  </si>
  <si>
    <t>Residential Inside City Limits 1"</t>
  </si>
  <si>
    <t>Residential Inside City Limits 1 1/2"</t>
  </si>
  <si>
    <t>Residential Inside City Limits 2"</t>
  </si>
  <si>
    <t>Commercial Inside City Limits 1"</t>
  </si>
  <si>
    <t>Industrial Inside City Limits 1"</t>
  </si>
  <si>
    <t>Industrial Inside City Limits 4'</t>
  </si>
  <si>
    <t>Residential Outside City Limits 3/4"</t>
  </si>
  <si>
    <t>Residential Outside City Limits 1"</t>
  </si>
  <si>
    <t>Residential Outside City Limits 1 1/2"</t>
  </si>
  <si>
    <t>Residential Outside City Limits 2"</t>
  </si>
  <si>
    <t xml:space="preserve">Number of Customers </t>
  </si>
  <si>
    <t>Average Monthly</t>
  </si>
  <si>
    <t>Water Use (1,000 gallons)</t>
  </si>
  <si>
    <t>Base Charge</t>
  </si>
  <si>
    <t>Water Volume Charge</t>
  </si>
  <si>
    <t>(per 1,000 Gallons)</t>
  </si>
  <si>
    <t>Water Bill</t>
  </si>
  <si>
    <t xml:space="preserve">Total Monthy </t>
  </si>
  <si>
    <t xml:space="preserve">Water Revenue </t>
  </si>
  <si>
    <t>Total  Annual</t>
  </si>
  <si>
    <t>Water Revenue</t>
  </si>
  <si>
    <t xml:space="preserve">Total Monthly </t>
  </si>
  <si>
    <t>SUBTOTAL</t>
  </si>
  <si>
    <t>INSIDE CITY LIMITS SUBTOTAL</t>
  </si>
  <si>
    <t>Base Rate</t>
  </si>
  <si>
    <t>Outside City Limits Subtotal</t>
  </si>
  <si>
    <t>Sewer Use, (1,000</t>
  </si>
  <si>
    <t>Gallons)</t>
  </si>
  <si>
    <t>Sewer Volume</t>
  </si>
  <si>
    <t>Charge (per 1,000</t>
  </si>
  <si>
    <t>Sewer Bill</t>
  </si>
  <si>
    <t>Total Monthly</t>
  </si>
  <si>
    <t>Sewer Revenue</t>
  </si>
  <si>
    <t>Total Annual</t>
  </si>
  <si>
    <t>Customers</t>
  </si>
  <si>
    <t>Number of</t>
  </si>
  <si>
    <t>Inside City Limits Subtotal</t>
  </si>
  <si>
    <t>OUTSIDE CIT LIMITS SUBTOTAL</t>
  </si>
  <si>
    <t xml:space="preserve">TOTAL  </t>
  </si>
  <si>
    <t>TOTAL</t>
  </si>
  <si>
    <t xml:space="preserve">Number of </t>
  </si>
  <si>
    <t>Average Monthly Water</t>
  </si>
  <si>
    <t>Use (l,000 gallons)</t>
  </si>
  <si>
    <t xml:space="preserve">Total Annual </t>
  </si>
  <si>
    <t>12,540</t>
  </si>
  <si>
    <t>OUTSIDE CITY LIMITS SUBTOTAL</t>
  </si>
  <si>
    <t xml:space="preserve">Sewer Use </t>
  </si>
  <si>
    <t>gallons</t>
  </si>
  <si>
    <t>(1,000 Gallons)</t>
  </si>
  <si>
    <t>Existing Avg Mnth</t>
  </si>
  <si>
    <t>Proposed Average Monthly</t>
  </si>
  <si>
    <t>$ Change Total</t>
  </si>
  <si>
    <t>W+S</t>
  </si>
  <si>
    <t>% Change Total</t>
  </si>
  <si>
    <t>Proposed Avg Mnth</t>
  </si>
  <si>
    <t>Revenue Impact Water</t>
  </si>
  <si>
    <t>Revenue Impact Sewer</t>
  </si>
  <si>
    <t>Total Revenue</t>
  </si>
  <si>
    <t>Total Rate Impact</t>
  </si>
  <si>
    <t>Sewer per category</t>
  </si>
  <si>
    <t>Water per category</t>
  </si>
  <si>
    <t>Proposed Water</t>
  </si>
  <si>
    <t>Existing Water</t>
  </si>
  <si>
    <t>Existing Sewer</t>
  </si>
  <si>
    <t>Proposed Sewer</t>
  </si>
  <si>
    <t>Existing</t>
  </si>
  <si>
    <t>Proposed</t>
  </si>
  <si>
    <t>Residential inside city 3/4</t>
  </si>
  <si>
    <t>Residental Inside City Limits 1 1/2"</t>
  </si>
  <si>
    <t>Industrial Inside City Limits 8"</t>
  </si>
  <si>
    <t>#</t>
  </si>
  <si>
    <t>Avg Monthly</t>
  </si>
  <si>
    <t>Water Use</t>
  </si>
  <si>
    <t>(1,000 gallons)</t>
  </si>
  <si>
    <t>Volume Charge</t>
  </si>
  <si>
    <r>
      <t>IMPORTANT</t>
    </r>
    <r>
      <rPr>
        <sz val="12"/>
        <color rgb="FF000000"/>
        <rFont val="Verdana"/>
        <family val="2"/>
      </rPr>
      <t xml:space="preserve">: The flow ratings in the charts below are for </t>
    </r>
    <r>
      <rPr>
        <sz val="12"/>
        <color rgb="FF0066CC"/>
        <rFont val="Verdana"/>
        <family val="2"/>
      </rPr>
      <t>Rigid PVC Pipe</t>
    </r>
    <r>
      <rPr>
        <sz val="12"/>
        <color rgb="FF000000"/>
        <rFont val="Verdana"/>
        <family val="2"/>
      </rPr>
      <t xml:space="preserve">. Reduce flow by 3% (Multiply by .97) for flow going through </t>
    </r>
    <r>
      <rPr>
        <sz val="12"/>
        <color rgb="FF0066CC"/>
        <rFont val="Verdana"/>
        <family val="2"/>
      </rPr>
      <t>Flexible PVC Pipe</t>
    </r>
    <r>
      <rPr>
        <sz val="12"/>
        <color rgb="FF000000"/>
        <rFont val="Verdana"/>
        <family val="2"/>
      </rPr>
      <t>.</t>
    </r>
  </si>
  <si>
    <t>Assume Gravity to Low Pressure. About 6f/s flow velocity, also suction side of pump</t>
  </si>
  <si>
    <t>Assume Average Pressure. (20-100PSI) About 12f/s flow velocity</t>
  </si>
  <si>
    <r>
      <t>Assume "High Pressure" PEAK flow. About 18f/s flow velocity</t>
    </r>
    <r>
      <rPr>
        <b/>
        <vertAlign val="superscript"/>
        <sz val="7.5"/>
        <color rgb="FF000000"/>
        <rFont val="Verdana"/>
        <family val="2"/>
      </rPr>
      <t>*</t>
    </r>
  </si>
  <si>
    <t>Sch 40 Pipe Size</t>
  </si>
  <si>
    <t>ID</t>
  </si>
  <si>
    <t>(range)</t>
  </si>
  <si>
    <t>OD</t>
  </si>
  <si>
    <t>GPM</t>
  </si>
  <si>
    <t>(with minimal pressure loss &amp; noise)</t>
  </si>
  <si>
    <t>GPH</t>
  </si>
  <si>
    <t>(with significant pressure loss &amp; noise)</t>
  </si>
  <si>
    <t>1/2"</t>
  </si>
  <si>
    <t>.50-.60"</t>
  </si>
  <si>
    <t>.85"</t>
  </si>
  <si>
    <t>7 gpm</t>
  </si>
  <si>
    <t>420 gph</t>
  </si>
  <si>
    <t>14 gpm</t>
  </si>
  <si>
    <t>840 gph</t>
  </si>
  <si>
    <t>21 gpm</t>
  </si>
  <si>
    <t>1,260 gph</t>
  </si>
  <si>
    <t>3/4"</t>
  </si>
  <si>
    <t>.75-.85"</t>
  </si>
  <si>
    <t>1.06"</t>
  </si>
  <si>
    <t>11 gpm</t>
  </si>
  <si>
    <t>660 gph</t>
  </si>
  <si>
    <t>23 gpm</t>
  </si>
  <si>
    <t>1,410 gph</t>
  </si>
  <si>
    <t>36 gpm</t>
  </si>
  <si>
    <t>2,160 gph</t>
  </si>
  <si>
    <t>1"</t>
  </si>
  <si>
    <t>1.00-1.03"</t>
  </si>
  <si>
    <t>1.33"</t>
  </si>
  <si>
    <t>16 gpm</t>
  </si>
  <si>
    <t>960 gph</t>
  </si>
  <si>
    <t>37 gpm</t>
  </si>
  <si>
    <t>2,220 gph</t>
  </si>
  <si>
    <t>58 gpm</t>
  </si>
  <si>
    <t>3,510 gph</t>
  </si>
  <si>
    <t>1.25"</t>
  </si>
  <si>
    <t>1.25-1.36"</t>
  </si>
  <si>
    <t>1.67"</t>
  </si>
  <si>
    <t>25 gpm</t>
  </si>
  <si>
    <t>1,500 gph</t>
  </si>
  <si>
    <t>62 gpm</t>
  </si>
  <si>
    <t>3,750 gph</t>
  </si>
  <si>
    <t>100 gpm</t>
  </si>
  <si>
    <t>5,940 gph</t>
  </si>
  <si>
    <t>1.5"</t>
  </si>
  <si>
    <t>1.50-1.60"</t>
  </si>
  <si>
    <t>1.90"</t>
  </si>
  <si>
    <t>35 gpm</t>
  </si>
  <si>
    <t>2100 gph</t>
  </si>
  <si>
    <t>81 gpm</t>
  </si>
  <si>
    <t>4,830 gph</t>
  </si>
  <si>
    <t>126 gpm</t>
  </si>
  <si>
    <t>7,560 gph</t>
  </si>
  <si>
    <t>2"</t>
  </si>
  <si>
    <t>1.95-2.05"</t>
  </si>
  <si>
    <t>2.38"</t>
  </si>
  <si>
    <t>55 gpm</t>
  </si>
  <si>
    <t>3300 gph</t>
  </si>
  <si>
    <t>127 gpm</t>
  </si>
  <si>
    <t>7,650 gph</t>
  </si>
  <si>
    <t>200 gpm</t>
  </si>
  <si>
    <t>12,000 gph</t>
  </si>
  <si>
    <t>2.5"</t>
  </si>
  <si>
    <t>2.35-2.45"</t>
  </si>
  <si>
    <t>2.89"</t>
  </si>
  <si>
    <t>80 gpm</t>
  </si>
  <si>
    <t>4800 gph</t>
  </si>
  <si>
    <t>190 gpm</t>
  </si>
  <si>
    <t>11,400 gph</t>
  </si>
  <si>
    <t>300 gpm</t>
  </si>
  <si>
    <t>17,550 gph</t>
  </si>
  <si>
    <t>3"</t>
  </si>
  <si>
    <t>2.90-3.05"</t>
  </si>
  <si>
    <t>3.50"</t>
  </si>
  <si>
    <t>140 gpm</t>
  </si>
  <si>
    <t>8400 gph</t>
  </si>
  <si>
    <t>273 gpm</t>
  </si>
  <si>
    <t>16,350 gph</t>
  </si>
  <si>
    <t>425 gpm</t>
  </si>
  <si>
    <t>25,650 gph</t>
  </si>
  <si>
    <t>4"</t>
  </si>
  <si>
    <t>3.85-3.95"</t>
  </si>
  <si>
    <t>4.50"</t>
  </si>
  <si>
    <t>240 gpm</t>
  </si>
  <si>
    <t>14,400 gph</t>
  </si>
  <si>
    <t>480 gpm</t>
  </si>
  <si>
    <t>28,800 gph</t>
  </si>
  <si>
    <t>700 gpm</t>
  </si>
  <si>
    <t>42,000 gph</t>
  </si>
  <si>
    <t>5"</t>
  </si>
  <si>
    <t>4.95-5.05"</t>
  </si>
  <si>
    <t>5.563"</t>
  </si>
  <si>
    <t>380 gpm</t>
  </si>
  <si>
    <t>22,800 gph</t>
  </si>
  <si>
    <t>750 gpm</t>
  </si>
  <si>
    <t>45,000 gph</t>
  </si>
  <si>
    <t>1100 gpm</t>
  </si>
  <si>
    <t>66,000 gph</t>
  </si>
  <si>
    <t>6"</t>
  </si>
  <si>
    <t>5.85-5.95"</t>
  </si>
  <si>
    <t>6.61"</t>
  </si>
  <si>
    <t>550 gpm</t>
  </si>
  <si>
    <t>33,000 gph</t>
  </si>
  <si>
    <t>1700 gpm</t>
  </si>
  <si>
    <t>102,000 gph</t>
  </si>
  <si>
    <t>8"</t>
  </si>
  <si>
    <t>7.96"</t>
  </si>
  <si>
    <t>8.625"</t>
  </si>
  <si>
    <t>950 gpm</t>
  </si>
  <si>
    <t>57,000 gph</t>
  </si>
  <si>
    <t>1900 gpm</t>
  </si>
  <si>
    <t>114,000 gph</t>
  </si>
  <si>
    <t>2800 gpm</t>
  </si>
  <si>
    <t>168,000 gph</t>
  </si>
  <si>
    <t>Total</t>
  </si>
  <si>
    <t>(per 1,000 Gal)</t>
  </si>
  <si>
    <t>(per 1,000 Gals)</t>
  </si>
  <si>
    <t>Sewer multiplier</t>
  </si>
  <si>
    <t>Water Rate</t>
  </si>
  <si>
    <t>Change / month</t>
  </si>
  <si>
    <t>Sewer Rate</t>
  </si>
  <si>
    <t>Industrial Outside City Limits 3"</t>
  </si>
  <si>
    <t>Commerical Outside City Limits 8"</t>
  </si>
  <si>
    <t>Commerical Outside City Limits 6"</t>
  </si>
  <si>
    <t>Commercial Outside City Limits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</si>
</sst>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  <numFmt numFmtId="167" formatCode="_(&quot;$&quot;* #,##0.0000_);_(&quot;$&quot;* \(#,##0.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66CC"/>
      <name val="Verdana"/>
      <family val="2"/>
    </font>
    <font>
      <sz val="7.5"/>
      <color rgb="FF000000"/>
      <name val="Verdana"/>
      <family val="2"/>
    </font>
    <font>
      <b/>
      <vertAlign val="superscript"/>
      <sz val="7.5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80FF80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44" fontId="2" fillId="0" borderId="0" xfId="1" applyFont="1"/>
    <xf numFmtId="44" fontId="4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4" fontId="2" fillId="2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4" fontId="5" fillId="2" borderId="0" xfId="0" applyNumberFormat="1" applyFont="1" applyFill="1"/>
    <xf numFmtId="44" fontId="2" fillId="0" borderId="0" xfId="1" applyFont="1" applyAlignment="1">
      <alignment horizontal="center"/>
    </xf>
    <xf numFmtId="49" fontId="0" fillId="0" borderId="0" xfId="0" applyNumberFormat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44" fontId="0" fillId="2" borderId="0" xfId="1" applyFont="1" applyFill="1"/>
    <xf numFmtId="44" fontId="5" fillId="2" borderId="0" xfId="1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6" fillId="0" borderId="0" xfId="0" applyFont="1" applyAlignment="1">
      <alignment horizontal="center"/>
    </xf>
    <xf numFmtId="0" fontId="6" fillId="0" borderId="0" xfId="0" applyFont="1"/>
    <xf numFmtId="44" fontId="6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 applyAlignment="1">
      <alignment horizontal="center"/>
    </xf>
    <xf numFmtId="44" fontId="6" fillId="0" borderId="0" xfId="0" applyNumberFormat="1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44" fontId="6" fillId="3" borderId="0" xfId="1" applyFont="1" applyFill="1"/>
    <xf numFmtId="3" fontId="6" fillId="3" borderId="0" xfId="0" applyNumberFormat="1" applyFont="1" applyFill="1"/>
    <xf numFmtId="44" fontId="0" fillId="0" borderId="0" xfId="0" applyNumberFormat="1"/>
    <xf numFmtId="9" fontId="0" fillId="0" borderId="0" xfId="2" applyFont="1"/>
    <xf numFmtId="14" fontId="0" fillId="0" borderId="0" xfId="0" applyNumberFormat="1"/>
    <xf numFmtId="43" fontId="0" fillId="0" borderId="0" xfId="3" applyFont="1"/>
    <xf numFmtId="44" fontId="4" fillId="0" borderId="0" xfId="0" applyNumberFormat="1" applyFont="1"/>
    <xf numFmtId="164" fontId="0" fillId="0" borderId="0" xfId="1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/>
    <xf numFmtId="44" fontId="0" fillId="4" borderId="0" xfId="1" applyFont="1" applyFill="1"/>
    <xf numFmtId="0" fontId="1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165" fontId="0" fillId="0" borderId="0" xfId="2" applyNumberFormat="1" applyFont="1"/>
    <xf numFmtId="0" fontId="0" fillId="9" borderId="6" xfId="0" applyFill="1" applyBorder="1"/>
    <xf numFmtId="44" fontId="0" fillId="9" borderId="6" xfId="0" applyNumberFormat="1" applyFill="1" applyBorder="1"/>
    <xf numFmtId="0" fontId="11" fillId="0" borderId="0" xfId="5" applyFill="1" applyAlignment="1">
      <alignment horizontal="center"/>
    </xf>
    <xf numFmtId="0" fontId="11" fillId="0" borderId="0" xfId="5" applyFill="1"/>
    <xf numFmtId="44" fontId="11" fillId="0" borderId="0" xfId="5" applyNumberFormat="1" applyFill="1"/>
    <xf numFmtId="0" fontId="10" fillId="0" borderId="0" xfId="4" applyFill="1" applyAlignment="1">
      <alignment horizontal="center"/>
    </xf>
    <xf numFmtId="0" fontId="10" fillId="0" borderId="0" xfId="4" applyFill="1"/>
    <xf numFmtId="44" fontId="10" fillId="0" borderId="0" xfId="4" applyNumberFormat="1" applyFill="1"/>
    <xf numFmtId="164" fontId="0" fillId="0" borderId="0" xfId="0" applyNumberFormat="1"/>
    <xf numFmtId="166" fontId="0" fillId="0" borderId="0" xfId="0" applyNumberFormat="1"/>
    <xf numFmtId="49" fontId="0" fillId="0" borderId="0" xfId="0" applyNumberFormat="1"/>
    <xf numFmtId="167" fontId="0" fillId="0" borderId="0" xfId="0" applyNumberFormat="1"/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7" fillId="0" borderId="4" xfId="6" applyBorder="1" applyAlignment="1">
      <alignment horizontal="center" vertical="center" wrapText="1"/>
    </xf>
    <xf numFmtId="0" fontId="17" fillId="0" borderId="5" xfId="6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4" fontId="9" fillId="0" borderId="0" xfId="1" applyFont="1" applyFill="1"/>
    <xf numFmtId="44" fontId="0" fillId="0" borderId="0" xfId="1" applyFont="1" applyFill="1"/>
    <xf numFmtId="44" fontId="4" fillId="0" borderId="0" xfId="1" applyFont="1" applyFill="1"/>
  </cellXfs>
  <cellStyles count="7">
    <cellStyle name="Bad" xfId="5" builtinId="27"/>
    <cellStyle name="Comma" xfId="3" builtinId="3"/>
    <cellStyle name="Currency" xfId="1" builtinId="4"/>
    <cellStyle name="Good" xfId="4" builtinId="26"/>
    <cellStyle name="Hyperlink" xfId="6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14</xdr:col>
      <xdr:colOff>276774</xdr:colOff>
      <xdr:row>26</xdr:row>
      <xdr:rowOff>162612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5AE04B-EAB2-FB9E-2D97-419A43FA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190500"/>
          <a:ext cx="3934374" cy="4925112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0</xdr:row>
      <xdr:rowOff>123825</xdr:rowOff>
    </xdr:from>
    <xdr:to>
      <xdr:col>7</xdr:col>
      <xdr:colOff>210264</xdr:colOff>
      <xdr:row>27</xdr:row>
      <xdr:rowOff>29280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ED088C-A697-BCD9-9A06-FB0D0E9A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123825"/>
          <a:ext cx="5115639" cy="504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lexpvc.com/Products/Sch40PVCPipe.s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6FCE-9648-4AF1-9E01-E072A9C6DC6B}">
  <dimension ref="A1"/>
  <sheetViews>
    <sheetView workbookViewId="0">
      <selection activeCell="A2" sqref="A2"/>
    </sheetView>
  </sheetViews>
  <sheetFormatPr defaultRowHeight="15" x14ac:dyDescent="0.25"/>
  <cols>
    <col min="1" max="1" width="25.28515625" bestFit="1" customWidth="1"/>
    <col min="2" max="2" width="12.7109375" bestFit="1" customWidth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zoomScale="85" zoomScaleNormal="85" workbookViewId="0">
      <selection activeCell="A2" sqref="A2"/>
    </sheetView>
  </sheetViews>
  <sheetFormatPr defaultRowHeight="15" x14ac:dyDescent="0.25"/>
  <cols>
    <col min="1" max="1" width="34.28515625" customWidth="1"/>
    <col min="2" max="2" width="13.42578125" customWidth="1"/>
    <col min="3" max="3" width="18.42578125" customWidth="1"/>
    <col min="4" max="4" width="16.140625" customWidth="1"/>
    <col min="5" max="5" width="16" customWidth="1"/>
    <col min="6" max="6" width="18.28515625" customWidth="1"/>
    <col min="7" max="7" width="17.5703125" customWidth="1"/>
    <col min="8" max="8" width="18.28515625" customWidth="1"/>
    <col min="9" max="9" width="14.7109375" customWidth="1"/>
  </cols>
  <sheetData>
    <row r="1" spans="1:9" x14ac:dyDescent="0.25">
      <c r="A1" t="s">
        <v>110</v>
      </c>
    </row>
    <row r="2" spans="1:9" x14ac:dyDescent="0.25">
      <c r="A2" s="2" t="s">
        <v>36</v>
      </c>
      <c r="B2" s="2" t="s">
        <v>82</v>
      </c>
      <c r="C2" s="2" t="s">
        <v>58</v>
      </c>
      <c r="D2" s="2" t="s">
        <v>60</v>
      </c>
      <c r="E2" s="2" t="s">
        <v>75</v>
      </c>
      <c r="F2" s="2" t="s">
        <v>1</v>
      </c>
      <c r="G2" s="2" t="s">
        <v>78</v>
      </c>
      <c r="H2" s="2" t="s">
        <v>80</v>
      </c>
      <c r="I2" s="2" t="s">
        <v>68</v>
      </c>
    </row>
    <row r="3" spans="1:9" x14ac:dyDescent="0.25">
      <c r="B3" s="2" t="s">
        <v>81</v>
      </c>
      <c r="C3" s="2" t="s">
        <v>73</v>
      </c>
      <c r="D3" s="2"/>
      <c r="E3" s="2" t="s">
        <v>76</v>
      </c>
      <c r="F3" s="2" t="s">
        <v>77</v>
      </c>
      <c r="G3" s="2" t="s">
        <v>79</v>
      </c>
      <c r="H3" s="2" t="s">
        <v>79</v>
      </c>
      <c r="I3" s="2" t="s">
        <v>71</v>
      </c>
    </row>
    <row r="4" spans="1:9" x14ac:dyDescent="0.25">
      <c r="B4" s="12"/>
      <c r="C4" s="2" t="s">
        <v>74</v>
      </c>
      <c r="D4" s="2"/>
      <c r="E4" s="2" t="s">
        <v>74</v>
      </c>
      <c r="F4" s="12"/>
      <c r="G4" s="12"/>
    </row>
    <row r="5" spans="1:9" x14ac:dyDescent="0.25">
      <c r="B5" s="12"/>
      <c r="C5" s="2"/>
      <c r="D5" s="2"/>
      <c r="E5" s="2"/>
      <c r="F5" s="12"/>
      <c r="G5" s="12"/>
    </row>
    <row r="7" spans="1:9" x14ac:dyDescent="0.25">
      <c r="A7" t="s">
        <v>37</v>
      </c>
      <c r="B7">
        <v>2200</v>
      </c>
      <c r="C7" s="4">
        <v>12025</v>
      </c>
      <c r="D7" s="3">
        <f>1.25*'existing water'!D5</f>
        <v>17.5</v>
      </c>
      <c r="E7" s="3">
        <f>1.25*'existing water'!E5</f>
        <v>4.1875</v>
      </c>
      <c r="F7" s="3">
        <f>(C7/B7*E7)+D7</f>
        <v>40.388494318181813</v>
      </c>
      <c r="G7" s="3">
        <f>F7*B7</f>
        <v>88854.687499999985</v>
      </c>
      <c r="H7" s="3">
        <f>G7*12</f>
        <v>1066256.2499999998</v>
      </c>
      <c r="I7" s="3">
        <f>D7*B7</f>
        <v>38500</v>
      </c>
    </row>
    <row r="8" spans="1:9" x14ac:dyDescent="0.25">
      <c r="A8" t="s">
        <v>38</v>
      </c>
      <c r="B8">
        <v>11</v>
      </c>
      <c r="C8">
        <v>45</v>
      </c>
      <c r="D8" s="3">
        <f>1.25*'existing water'!D6</f>
        <v>21.25</v>
      </c>
      <c r="E8" s="3">
        <f>1.25*'existing water'!E6</f>
        <v>4.1875</v>
      </c>
      <c r="F8" s="3">
        <f t="shared" ref="F8:F10" si="0">(C8/B8*E8)+D8</f>
        <v>38.380681818181813</v>
      </c>
      <c r="G8" s="3">
        <f t="shared" ref="G8:G10" si="1">F8*B8</f>
        <v>422.18749999999994</v>
      </c>
      <c r="H8" s="3">
        <f t="shared" ref="H8:H10" si="2">G8*12</f>
        <v>5066.2499999999991</v>
      </c>
      <c r="I8" s="3">
        <f t="shared" ref="I8:I10" si="3">D8*B8</f>
        <v>233.75</v>
      </c>
    </row>
    <row r="9" spans="1:9" x14ac:dyDescent="0.25">
      <c r="A9" t="s">
        <v>39</v>
      </c>
      <c r="B9">
        <v>1</v>
      </c>
      <c r="C9">
        <v>11</v>
      </c>
      <c r="D9" s="3">
        <f>1.25*'existing water'!D7</f>
        <v>33.75</v>
      </c>
      <c r="E9" s="3">
        <f>1.25*'existing water'!E7</f>
        <v>4.1875</v>
      </c>
      <c r="F9" s="3">
        <f t="shared" si="0"/>
        <v>79.8125</v>
      </c>
      <c r="G9" s="3">
        <f t="shared" si="1"/>
        <v>79.8125</v>
      </c>
      <c r="H9" s="3">
        <f t="shared" si="2"/>
        <v>957.75</v>
      </c>
      <c r="I9" s="3">
        <f t="shared" si="3"/>
        <v>33.75</v>
      </c>
    </row>
    <row r="10" spans="1:9" x14ac:dyDescent="0.25">
      <c r="A10" t="s">
        <v>4</v>
      </c>
      <c r="B10">
        <v>2</v>
      </c>
      <c r="C10">
        <v>13</v>
      </c>
      <c r="D10" s="3">
        <f>1.25*'existing water'!D8</f>
        <v>53.75</v>
      </c>
      <c r="E10" s="3">
        <f>1.25*'existing water'!E8</f>
        <v>4.1875</v>
      </c>
      <c r="F10" s="3">
        <f t="shared" si="0"/>
        <v>80.96875</v>
      </c>
      <c r="G10" s="3">
        <f t="shared" si="1"/>
        <v>161.9375</v>
      </c>
      <c r="H10" s="3">
        <f t="shared" si="2"/>
        <v>1943.25</v>
      </c>
      <c r="I10" s="3">
        <f t="shared" si="3"/>
        <v>107.5</v>
      </c>
    </row>
    <row r="11" spans="1:9" s="5" customFormat="1" x14ac:dyDescent="0.25">
      <c r="A11" s="10" t="s">
        <v>69</v>
      </c>
      <c r="B11" s="5">
        <f>SUM(B7:B10)</f>
        <v>2214</v>
      </c>
      <c r="D11" s="9"/>
      <c r="E11" s="9"/>
      <c r="F11" s="9"/>
      <c r="G11" s="9">
        <f>SUM(G7:G10)</f>
        <v>89518.624999999985</v>
      </c>
      <c r="H11" s="9">
        <f>SUM(H7:H10)</f>
        <v>1074223.4999999998</v>
      </c>
      <c r="I11" s="9">
        <f>SUM(I7:I10)</f>
        <v>38875</v>
      </c>
    </row>
    <row r="12" spans="1:9" x14ac:dyDescent="0.25">
      <c r="D12" s="3"/>
      <c r="E12" s="3"/>
      <c r="F12" s="3"/>
      <c r="G12" s="3"/>
      <c r="H12" s="3"/>
    </row>
    <row r="13" spans="1:9" x14ac:dyDescent="0.25">
      <c r="A13" t="s">
        <v>5</v>
      </c>
      <c r="B13">
        <v>290</v>
      </c>
      <c r="C13">
        <v>1758</v>
      </c>
      <c r="D13" s="3">
        <f>1.25*'existing water'!D11</f>
        <v>17.5</v>
      </c>
      <c r="E13" s="3">
        <f>1.25*'existing water'!E11</f>
        <v>4.1875</v>
      </c>
      <c r="F13" s="3">
        <f t="shared" ref="F13:F17" si="4">(C13/B13*E13)+D13</f>
        <v>42.884913793103451</v>
      </c>
      <c r="G13" s="3">
        <f t="shared" ref="G13:G17" si="5">F13*B13</f>
        <v>12436.625</v>
      </c>
      <c r="H13" s="3">
        <f t="shared" ref="H13:H17" si="6">G13*12</f>
        <v>149239.5</v>
      </c>
      <c r="I13" s="3">
        <f t="shared" ref="I13:I17" si="7">D13*B13</f>
        <v>5075</v>
      </c>
    </row>
    <row r="14" spans="1:9" x14ac:dyDescent="0.25">
      <c r="A14" t="s">
        <v>40</v>
      </c>
      <c r="B14">
        <v>28</v>
      </c>
      <c r="C14">
        <v>257</v>
      </c>
      <c r="D14" s="3">
        <f>1.25*'existing water'!D12</f>
        <v>21.25</v>
      </c>
      <c r="E14" s="3">
        <f>1.25*'existing water'!E12</f>
        <v>4.1875</v>
      </c>
      <c r="F14" s="3">
        <f t="shared" si="4"/>
        <v>59.685267857142861</v>
      </c>
      <c r="G14" s="3">
        <f t="shared" si="5"/>
        <v>1671.1875</v>
      </c>
      <c r="H14" s="3">
        <f t="shared" si="6"/>
        <v>20054.25</v>
      </c>
      <c r="I14" s="3">
        <f t="shared" si="7"/>
        <v>595</v>
      </c>
    </row>
    <row r="15" spans="1:9" x14ac:dyDescent="0.25">
      <c r="A15" t="s">
        <v>7</v>
      </c>
      <c r="B15">
        <v>2</v>
      </c>
      <c r="C15">
        <v>21</v>
      </c>
      <c r="D15" s="3">
        <f>1.25*'existing water'!D13</f>
        <v>33.75</v>
      </c>
      <c r="E15" s="3">
        <f>1.25*'existing water'!E13</f>
        <v>4.1875</v>
      </c>
      <c r="F15" s="3">
        <f t="shared" si="4"/>
        <v>77.71875</v>
      </c>
      <c r="G15" s="3">
        <f t="shared" si="5"/>
        <v>155.4375</v>
      </c>
      <c r="H15" s="3">
        <f t="shared" si="6"/>
        <v>1865.25</v>
      </c>
      <c r="I15" s="3">
        <f t="shared" si="7"/>
        <v>67.5</v>
      </c>
    </row>
    <row r="16" spans="1:9" x14ac:dyDescent="0.25">
      <c r="A16" t="s">
        <v>41</v>
      </c>
      <c r="B16">
        <v>41</v>
      </c>
      <c r="C16">
        <v>2209</v>
      </c>
      <c r="D16" s="3">
        <f>1.25*'existing water'!D14</f>
        <v>53.75</v>
      </c>
      <c r="E16" s="3">
        <f>1.25*'existing water'!E14</f>
        <v>4.1875</v>
      </c>
      <c r="F16" s="3">
        <f t="shared" si="4"/>
        <v>279.36432926829264</v>
      </c>
      <c r="G16" s="3">
        <f t="shared" si="5"/>
        <v>11453.937499999998</v>
      </c>
      <c r="H16" s="3">
        <f t="shared" si="6"/>
        <v>137447.24999999997</v>
      </c>
      <c r="I16" s="3">
        <f t="shared" si="7"/>
        <v>2203.75</v>
      </c>
    </row>
    <row r="17" spans="1:9" x14ac:dyDescent="0.25">
      <c r="A17" t="s">
        <v>9</v>
      </c>
      <c r="B17">
        <v>1</v>
      </c>
      <c r="C17">
        <v>529</v>
      </c>
      <c r="D17" s="3">
        <f>1.25*'existing water'!D15</f>
        <v>100</v>
      </c>
      <c r="E17" s="3">
        <f>1.25*'existing water'!E15</f>
        <v>4.1875</v>
      </c>
      <c r="F17" s="3">
        <f t="shared" si="4"/>
        <v>2315.1875</v>
      </c>
      <c r="G17" s="3">
        <f t="shared" si="5"/>
        <v>2315.1875</v>
      </c>
      <c r="H17" s="3">
        <f t="shared" si="6"/>
        <v>27782.25</v>
      </c>
      <c r="I17" s="3">
        <f t="shared" si="7"/>
        <v>100</v>
      </c>
    </row>
    <row r="18" spans="1:9" x14ac:dyDescent="0.25">
      <c r="A18" s="10" t="s">
        <v>69</v>
      </c>
      <c r="B18" s="6">
        <f>SUM(B13:B17)</f>
        <v>362</v>
      </c>
      <c r="C18" s="6"/>
      <c r="D18" s="7"/>
      <c r="E18" s="7"/>
      <c r="F18" s="7"/>
      <c r="G18" s="7">
        <f>SUM(G13:G17)</f>
        <v>28032.375</v>
      </c>
      <c r="H18" s="7">
        <f>SUM(H13:H17)</f>
        <v>336388.5</v>
      </c>
      <c r="I18" s="7">
        <f>SUM(I13:I17)</f>
        <v>8041.25</v>
      </c>
    </row>
    <row r="19" spans="1:9" x14ac:dyDescent="0.25">
      <c r="D19" s="3"/>
      <c r="E19" s="3"/>
      <c r="F19" s="3"/>
      <c r="G19" s="3"/>
      <c r="H19" s="3"/>
    </row>
    <row r="20" spans="1:9" x14ac:dyDescent="0.25">
      <c r="A20" t="s">
        <v>10</v>
      </c>
      <c r="B20">
        <v>2</v>
      </c>
      <c r="C20">
        <v>2</v>
      </c>
      <c r="D20" s="3">
        <f>1.25*'existing water'!D18</f>
        <v>17.5</v>
      </c>
      <c r="E20" s="3">
        <f>1.25*'existing water'!E18</f>
        <v>3.6875</v>
      </c>
      <c r="F20" s="3">
        <f t="shared" ref="F20:F27" si="8">(C20/B20*E20)+D20</f>
        <v>21.1875</v>
      </c>
      <c r="G20" s="3">
        <f t="shared" ref="G20:G27" si="9">F20*B20</f>
        <v>42.375</v>
      </c>
      <c r="H20" s="3">
        <f t="shared" ref="H20:H27" si="10">G20*12</f>
        <v>508.5</v>
      </c>
      <c r="I20" s="3">
        <f t="shared" ref="I20:I27" si="11">D20*B20</f>
        <v>35</v>
      </c>
    </row>
    <row r="21" spans="1:9" x14ac:dyDescent="0.25">
      <c r="A21" t="s">
        <v>42</v>
      </c>
      <c r="B21">
        <v>4</v>
      </c>
      <c r="C21">
        <v>11</v>
      </c>
      <c r="D21" s="3">
        <f>1.25*'existing water'!D19</f>
        <v>21.25</v>
      </c>
      <c r="E21" s="3">
        <f>1.25*'existing water'!E19</f>
        <v>3.6875</v>
      </c>
      <c r="F21" s="3">
        <f t="shared" si="8"/>
        <v>31.390625</v>
      </c>
      <c r="G21" s="3">
        <f t="shared" si="9"/>
        <v>125.5625</v>
      </c>
      <c r="H21" s="3">
        <f t="shared" si="10"/>
        <v>1506.75</v>
      </c>
      <c r="I21" s="3">
        <f t="shared" si="11"/>
        <v>85</v>
      </c>
    </row>
    <row r="22" spans="1:9" x14ac:dyDescent="0.25">
      <c r="A22" t="s">
        <v>11</v>
      </c>
      <c r="B22">
        <v>0</v>
      </c>
      <c r="C22">
        <v>0</v>
      </c>
      <c r="D22" s="3">
        <f>1.25*'existing water'!D20</f>
        <v>33.75</v>
      </c>
      <c r="E22" s="3">
        <f>1.25*'existing water'!E20</f>
        <v>3.6875</v>
      </c>
      <c r="F22" s="3">
        <v>0</v>
      </c>
      <c r="G22" s="3">
        <f t="shared" si="9"/>
        <v>0</v>
      </c>
      <c r="H22" s="3">
        <f t="shared" si="10"/>
        <v>0</v>
      </c>
      <c r="I22" s="3">
        <f t="shared" si="11"/>
        <v>0</v>
      </c>
    </row>
    <row r="23" spans="1:9" x14ac:dyDescent="0.25">
      <c r="A23" t="s">
        <v>12</v>
      </c>
      <c r="B23">
        <v>10</v>
      </c>
      <c r="C23">
        <v>2771</v>
      </c>
      <c r="D23" s="3">
        <f>1.25*'existing water'!D21</f>
        <v>53.75</v>
      </c>
      <c r="E23" s="3">
        <f>1.25*'existing water'!E21</f>
        <v>3.6875</v>
      </c>
      <c r="F23" s="3">
        <f t="shared" si="8"/>
        <v>1075.5562500000001</v>
      </c>
      <c r="G23" s="3">
        <f t="shared" si="9"/>
        <v>10755.5625</v>
      </c>
      <c r="H23" s="3">
        <f t="shared" si="10"/>
        <v>129066.75</v>
      </c>
      <c r="I23" s="3">
        <f t="shared" si="11"/>
        <v>537.5</v>
      </c>
    </row>
    <row r="24" spans="1:9" x14ac:dyDescent="0.25">
      <c r="A24" t="s">
        <v>13</v>
      </c>
      <c r="B24">
        <v>0</v>
      </c>
      <c r="C24">
        <v>0</v>
      </c>
      <c r="D24" s="3">
        <f>1.25*'existing water'!D22</f>
        <v>100</v>
      </c>
      <c r="E24" s="3">
        <f>1.25*'existing water'!E22</f>
        <v>3.6875</v>
      </c>
      <c r="F24" s="3">
        <v>0</v>
      </c>
      <c r="G24" s="3">
        <f t="shared" si="9"/>
        <v>0</v>
      </c>
      <c r="H24" s="3">
        <f t="shared" si="10"/>
        <v>0</v>
      </c>
      <c r="I24" s="3">
        <f t="shared" si="11"/>
        <v>0</v>
      </c>
    </row>
    <row r="25" spans="1:9" x14ac:dyDescent="0.25">
      <c r="A25" t="s">
        <v>14</v>
      </c>
      <c r="B25">
        <v>0</v>
      </c>
      <c r="C25">
        <v>0</v>
      </c>
      <c r="D25" s="3">
        <f>1.25*'existing water'!D23</f>
        <v>137.5</v>
      </c>
      <c r="E25" s="3">
        <f>1.25*'existing water'!E23</f>
        <v>3.6875</v>
      </c>
      <c r="F25" s="3">
        <v>0</v>
      </c>
      <c r="G25" s="3">
        <f t="shared" si="9"/>
        <v>0</v>
      </c>
      <c r="H25" s="3">
        <f t="shared" si="10"/>
        <v>0</v>
      </c>
      <c r="I25" s="3">
        <f t="shared" si="11"/>
        <v>0</v>
      </c>
    </row>
    <row r="26" spans="1:9" x14ac:dyDescent="0.25">
      <c r="A26" t="s">
        <v>15</v>
      </c>
      <c r="B26">
        <v>2</v>
      </c>
      <c r="C26">
        <v>10</v>
      </c>
      <c r="D26" s="3">
        <f>1.25*'existing water'!D24</f>
        <v>315</v>
      </c>
      <c r="E26" s="3">
        <f>1.25*'existing water'!E24</f>
        <v>3.6875</v>
      </c>
      <c r="F26" s="3">
        <f t="shared" si="8"/>
        <v>333.4375</v>
      </c>
      <c r="G26" s="3">
        <f t="shared" si="9"/>
        <v>666.875</v>
      </c>
      <c r="H26" s="3">
        <f t="shared" si="10"/>
        <v>8002.5</v>
      </c>
      <c r="I26" s="3">
        <f t="shared" si="11"/>
        <v>630</v>
      </c>
    </row>
    <row r="27" spans="1:9" x14ac:dyDescent="0.25">
      <c r="A27" t="s">
        <v>43</v>
      </c>
      <c r="B27">
        <v>1</v>
      </c>
      <c r="C27">
        <v>5357</v>
      </c>
      <c r="D27" s="3">
        <f>1.25*'existing water'!D25</f>
        <v>562.5</v>
      </c>
      <c r="E27" s="3">
        <f>1.25*'existing water'!E25</f>
        <v>3.6875</v>
      </c>
      <c r="F27" s="3">
        <f t="shared" si="8"/>
        <v>20316.4375</v>
      </c>
      <c r="G27" s="3">
        <f t="shared" si="9"/>
        <v>20316.4375</v>
      </c>
      <c r="H27" s="3">
        <f t="shared" si="10"/>
        <v>243797.25</v>
      </c>
      <c r="I27" s="3">
        <f t="shared" si="11"/>
        <v>562.5</v>
      </c>
    </row>
    <row r="28" spans="1:9" s="6" customFormat="1" x14ac:dyDescent="0.25">
      <c r="A28" s="11" t="s">
        <v>69</v>
      </c>
      <c r="B28" s="6">
        <f>SUM(B20:B27)</f>
        <v>19</v>
      </c>
      <c r="D28" s="7"/>
      <c r="E28" s="7"/>
      <c r="F28" s="7"/>
      <c r="G28" s="7">
        <f>SUM(G20:G27)</f>
        <v>31906.8125</v>
      </c>
      <c r="H28" s="7">
        <f>SUM(H20:H27)</f>
        <v>382881.75</v>
      </c>
      <c r="I28" s="7">
        <f>SUM(I20:I27)</f>
        <v>1850</v>
      </c>
    </row>
    <row r="29" spans="1:9" s="6" customFormat="1" x14ac:dyDescent="0.25">
      <c r="A29" s="11"/>
      <c r="D29" s="7"/>
      <c r="E29" s="7"/>
      <c r="F29" s="7"/>
      <c r="G29" s="7"/>
      <c r="H29" s="7"/>
    </row>
    <row r="30" spans="1:9" s="30" customFormat="1" x14ac:dyDescent="0.25">
      <c r="A30" s="32" t="s">
        <v>83</v>
      </c>
      <c r="B30" s="30">
        <f>SUM(B28,B18,B11)</f>
        <v>2595</v>
      </c>
      <c r="D30" s="31"/>
      <c r="E30" s="31"/>
      <c r="F30" s="31"/>
      <c r="G30" s="31">
        <f>SUM(G28,G18,G11)</f>
        <v>149457.8125</v>
      </c>
      <c r="H30" s="31">
        <f>SUM(H28,H18,H11)</f>
        <v>1793493.7499999998</v>
      </c>
      <c r="I30" s="31">
        <f>SUM(I28,I18,I11)</f>
        <v>48766.25</v>
      </c>
    </row>
    <row r="31" spans="1:9" x14ac:dyDescent="0.25">
      <c r="D31" s="3"/>
      <c r="E31" s="3"/>
      <c r="F31" s="3"/>
      <c r="G31" s="3"/>
      <c r="H31" s="3"/>
    </row>
    <row r="32" spans="1:9" x14ac:dyDescent="0.25">
      <c r="A32" t="s">
        <v>18</v>
      </c>
      <c r="B32">
        <v>24</v>
      </c>
      <c r="C32">
        <v>266</v>
      </c>
      <c r="D32" s="3">
        <f>1.25*'existing water'!D33</f>
        <v>26.25</v>
      </c>
      <c r="E32" s="3">
        <f>1.25*'existing water'!E33</f>
        <v>6.28125</v>
      </c>
      <c r="F32" s="3">
        <f t="shared" ref="F32" si="12">(C32/B32*E32)+D32</f>
        <v>95.8671875</v>
      </c>
      <c r="G32" s="3">
        <f t="shared" ref="G32:G35" si="13">F32*B32</f>
        <v>2300.8125</v>
      </c>
      <c r="H32" s="3">
        <f t="shared" ref="H32:H35" si="14">G32*12</f>
        <v>27609.75</v>
      </c>
      <c r="I32" s="3">
        <f t="shared" ref="I32:I35" si="15">D32*B32</f>
        <v>630</v>
      </c>
    </row>
    <row r="33" spans="1:9" x14ac:dyDescent="0.25">
      <c r="A33" t="s">
        <v>19</v>
      </c>
      <c r="B33">
        <v>0</v>
      </c>
      <c r="C33">
        <v>0</v>
      </c>
      <c r="D33" s="3">
        <f>1.25*'existing water'!D34</f>
        <v>31.875</v>
      </c>
      <c r="E33" s="3">
        <f>1.25*'existing water'!E34</f>
        <v>6.28125</v>
      </c>
      <c r="F33" s="3">
        <v>0</v>
      </c>
      <c r="G33" s="3">
        <f t="shared" si="13"/>
        <v>0</v>
      </c>
      <c r="H33" s="3">
        <f t="shared" si="14"/>
        <v>0</v>
      </c>
      <c r="I33" s="3">
        <f t="shared" si="15"/>
        <v>0</v>
      </c>
    </row>
    <row r="34" spans="1:9" x14ac:dyDescent="0.25">
      <c r="A34" t="s">
        <v>20</v>
      </c>
      <c r="B34">
        <v>0</v>
      </c>
      <c r="C34">
        <v>0</v>
      </c>
      <c r="D34" s="3">
        <f>1.25*'existing water'!D35</f>
        <v>50.625</v>
      </c>
      <c r="E34" s="3">
        <f>1.25*'existing water'!E35</f>
        <v>6.28125</v>
      </c>
      <c r="F34" s="3">
        <v>0</v>
      </c>
      <c r="G34" s="3">
        <f t="shared" si="13"/>
        <v>0</v>
      </c>
      <c r="H34" s="3">
        <f t="shared" si="14"/>
        <v>0</v>
      </c>
      <c r="I34" s="3">
        <f t="shared" si="15"/>
        <v>0</v>
      </c>
    </row>
    <row r="35" spans="1:9" x14ac:dyDescent="0.25">
      <c r="A35" t="s">
        <v>21</v>
      </c>
      <c r="B35">
        <v>0</v>
      </c>
      <c r="C35">
        <v>0</v>
      </c>
      <c r="D35" s="3">
        <f>1.25*'existing water'!D36</f>
        <v>80.625</v>
      </c>
      <c r="E35" s="3">
        <f>1.25*'existing water'!E36</f>
        <v>6.28125</v>
      </c>
      <c r="F35" s="3">
        <v>0</v>
      </c>
      <c r="G35" s="3">
        <f t="shared" si="13"/>
        <v>0</v>
      </c>
      <c r="H35" s="3">
        <f t="shared" si="14"/>
        <v>0</v>
      </c>
      <c r="I35" s="3">
        <f t="shared" si="15"/>
        <v>0</v>
      </c>
    </row>
    <row r="36" spans="1:9" s="6" customFormat="1" x14ac:dyDescent="0.25">
      <c r="A36" s="10" t="s">
        <v>69</v>
      </c>
      <c r="B36" s="6">
        <f>SUM(B32:B35)</f>
        <v>24</v>
      </c>
      <c r="D36" s="7"/>
      <c r="E36" s="7"/>
      <c r="F36" s="7"/>
      <c r="G36" s="7">
        <f>SUM(G32:G35)</f>
        <v>2300.8125</v>
      </c>
      <c r="H36" s="7">
        <f>SUM(H32:H35)</f>
        <v>27609.75</v>
      </c>
    </row>
    <row r="37" spans="1:9" x14ac:dyDescent="0.25">
      <c r="D37" s="3"/>
      <c r="E37" s="3"/>
      <c r="F37" s="3"/>
      <c r="G37" s="3"/>
      <c r="H37" s="3"/>
    </row>
    <row r="38" spans="1:9" x14ac:dyDescent="0.25">
      <c r="A38" t="s">
        <v>44</v>
      </c>
      <c r="B38">
        <v>12</v>
      </c>
      <c r="C38">
        <v>111</v>
      </c>
      <c r="D38" s="3">
        <f>1.25*'existing water'!D39</f>
        <v>26.25</v>
      </c>
      <c r="E38" s="3">
        <f>1.25*'existing water'!E39</f>
        <v>6.28125</v>
      </c>
      <c r="F38" s="3">
        <f t="shared" ref="F38:F41" si="16">(C38/B38*E38)+D38</f>
        <v>84.3515625</v>
      </c>
      <c r="G38" s="3">
        <f t="shared" ref="G38:G45" si="17">F38*B38</f>
        <v>1012.21875</v>
      </c>
      <c r="H38" s="3">
        <f t="shared" ref="H38:H45" si="18">G38*12</f>
        <v>12146.625</v>
      </c>
      <c r="I38" s="3">
        <f t="shared" ref="I38:I45" si="19">D38*B38</f>
        <v>315</v>
      </c>
    </row>
    <row r="39" spans="1:9" x14ac:dyDescent="0.25">
      <c r="A39" t="s">
        <v>45</v>
      </c>
      <c r="B39">
        <v>1</v>
      </c>
      <c r="C39">
        <v>11</v>
      </c>
      <c r="D39" s="3">
        <f>1.25*'existing water'!D40</f>
        <v>31.875</v>
      </c>
      <c r="E39" s="3">
        <f>1.25*'existing water'!E40</f>
        <v>6.28125</v>
      </c>
      <c r="F39" s="3">
        <f t="shared" si="16"/>
        <v>100.96875</v>
      </c>
      <c r="G39" s="3">
        <f t="shared" si="17"/>
        <v>100.96875</v>
      </c>
      <c r="H39" s="3">
        <f t="shared" si="18"/>
        <v>1211.625</v>
      </c>
      <c r="I39" s="3">
        <f t="shared" si="19"/>
        <v>31.875</v>
      </c>
    </row>
    <row r="40" spans="1:9" x14ac:dyDescent="0.25">
      <c r="A40" t="s">
        <v>24</v>
      </c>
      <c r="B40">
        <v>0</v>
      </c>
      <c r="C40">
        <v>0</v>
      </c>
      <c r="D40" s="3">
        <f>1.25*'existing water'!D41</f>
        <v>50.625</v>
      </c>
      <c r="E40" s="3">
        <f>1.25*'existing water'!E41</f>
        <v>6.28125</v>
      </c>
      <c r="F40" s="3">
        <v>0</v>
      </c>
      <c r="G40" s="3">
        <f t="shared" si="17"/>
        <v>0</v>
      </c>
      <c r="H40" s="3">
        <f t="shared" si="18"/>
        <v>0</v>
      </c>
      <c r="I40" s="3">
        <f t="shared" si="19"/>
        <v>0</v>
      </c>
    </row>
    <row r="41" spans="1:9" x14ac:dyDescent="0.25">
      <c r="A41" t="s">
        <v>25</v>
      </c>
      <c r="B41">
        <v>3</v>
      </c>
      <c r="C41">
        <v>216</v>
      </c>
      <c r="D41" s="3">
        <f>1.25*'existing water'!D42</f>
        <v>80.625</v>
      </c>
      <c r="E41" s="3">
        <f>1.25*'existing water'!E42</f>
        <v>6.28125</v>
      </c>
      <c r="F41" s="3">
        <f t="shared" si="16"/>
        <v>532.875</v>
      </c>
      <c r="G41" s="3">
        <f t="shared" si="17"/>
        <v>1598.625</v>
      </c>
      <c r="H41" s="3">
        <f t="shared" si="18"/>
        <v>19183.5</v>
      </c>
      <c r="I41" s="3">
        <f t="shared" si="19"/>
        <v>241.875</v>
      </c>
    </row>
    <row r="42" spans="1:9" x14ac:dyDescent="0.25">
      <c r="A42" t="s">
        <v>26</v>
      </c>
      <c r="B42">
        <v>0</v>
      </c>
      <c r="C42">
        <v>0</v>
      </c>
      <c r="D42" s="3">
        <f>1.25*'existing water'!D43</f>
        <v>150</v>
      </c>
      <c r="E42" s="3">
        <f>1.25*'existing water'!E43</f>
        <v>6.28125</v>
      </c>
      <c r="F42" s="3">
        <v>0</v>
      </c>
      <c r="G42" s="3">
        <f t="shared" si="17"/>
        <v>0</v>
      </c>
      <c r="H42" s="3">
        <f t="shared" si="18"/>
        <v>0</v>
      </c>
      <c r="I42" s="3">
        <f t="shared" si="19"/>
        <v>0</v>
      </c>
    </row>
    <row r="43" spans="1:9" x14ac:dyDescent="0.25">
      <c r="A43" t="s">
        <v>27</v>
      </c>
      <c r="B43">
        <v>0</v>
      </c>
      <c r="C43">
        <v>0</v>
      </c>
      <c r="D43" s="3">
        <f>1.25*'existing water'!D44</f>
        <v>267</v>
      </c>
      <c r="E43" s="3">
        <f>1.25*'existing water'!E44</f>
        <v>6.28125</v>
      </c>
      <c r="F43" s="3">
        <v>0</v>
      </c>
      <c r="G43" s="3">
        <f t="shared" si="17"/>
        <v>0</v>
      </c>
      <c r="H43" s="3">
        <f t="shared" si="18"/>
        <v>0</v>
      </c>
      <c r="I43" s="3">
        <f t="shared" si="19"/>
        <v>0</v>
      </c>
    </row>
    <row r="44" spans="1:9" x14ac:dyDescent="0.25">
      <c r="A44" t="s">
        <v>249</v>
      </c>
      <c r="B44">
        <v>0</v>
      </c>
      <c r="C44">
        <v>0</v>
      </c>
      <c r="D44" s="3">
        <f>1.25*'existing water'!D45</f>
        <v>534</v>
      </c>
      <c r="E44" s="3">
        <f>1.25*'existing water'!E45</f>
        <v>6.28125</v>
      </c>
      <c r="F44" s="3">
        <f>IF(ISERROR((C44/B44*E44)+D44), 0, (C44/B44*E44)+D44)</f>
        <v>0</v>
      </c>
      <c r="G44" s="3">
        <f t="shared" si="17"/>
        <v>0</v>
      </c>
      <c r="H44" s="3">
        <f t="shared" si="18"/>
        <v>0</v>
      </c>
      <c r="I44" s="3">
        <f t="shared" si="19"/>
        <v>0</v>
      </c>
    </row>
    <row r="45" spans="1:9" x14ac:dyDescent="0.25">
      <c r="A45" t="s">
        <v>248</v>
      </c>
      <c r="D45" s="3">
        <f>1.25*'existing water'!D46</f>
        <v>934.5</v>
      </c>
      <c r="E45" s="3">
        <f>1.25*'existing water'!E46</f>
        <v>6.28125</v>
      </c>
      <c r="F45" s="3">
        <f>IF(ISERROR((C45/B45*E45)+D45), 0, (C45/B45*E45)+D45)</f>
        <v>0</v>
      </c>
      <c r="G45" s="3">
        <f t="shared" si="17"/>
        <v>0</v>
      </c>
      <c r="H45" s="3">
        <f t="shared" si="18"/>
        <v>0</v>
      </c>
      <c r="I45" s="3">
        <f t="shared" si="19"/>
        <v>0</v>
      </c>
    </row>
    <row r="46" spans="1:9" s="5" customFormat="1" x14ac:dyDescent="0.25">
      <c r="A46" s="10" t="s">
        <v>69</v>
      </c>
      <c r="B46" s="5">
        <f>SUM(B38:B44)</f>
        <v>16</v>
      </c>
      <c r="D46" s="9"/>
      <c r="E46" s="9"/>
      <c r="F46" s="9"/>
      <c r="G46" s="9">
        <f>SUM(G38:G43)</f>
        <v>2711.8125</v>
      </c>
      <c r="H46" s="9">
        <f>SUM(H38:H43)</f>
        <v>32541.75</v>
      </c>
    </row>
    <row r="47" spans="1:9" x14ac:dyDescent="0.25">
      <c r="D47" s="3"/>
      <c r="E47" s="3"/>
      <c r="F47" s="3"/>
      <c r="G47" s="3"/>
      <c r="H47" s="3"/>
    </row>
    <row r="48" spans="1:9" x14ac:dyDescent="0.25">
      <c r="A48" t="s">
        <v>29</v>
      </c>
      <c r="B48">
        <v>0</v>
      </c>
      <c r="C48">
        <v>0</v>
      </c>
      <c r="D48" s="3">
        <f>1.25*'existing water'!D49</f>
        <v>28.875</v>
      </c>
      <c r="E48" s="3">
        <f>1.25*'existing water'!E49</f>
        <v>4.6875</v>
      </c>
      <c r="F48" s="3">
        <v>0</v>
      </c>
      <c r="G48" s="3">
        <f t="shared" ref="G48:G55" si="20">F48*B48</f>
        <v>0</v>
      </c>
      <c r="H48" s="3">
        <f t="shared" ref="H48:H55" si="21">G48*12</f>
        <v>0</v>
      </c>
      <c r="I48" s="3">
        <f t="shared" ref="I48:I55" si="22">D48*B48</f>
        <v>0</v>
      </c>
    </row>
    <row r="49" spans="1:9" x14ac:dyDescent="0.25">
      <c r="A49" t="s">
        <v>30</v>
      </c>
      <c r="B49">
        <v>0</v>
      </c>
      <c r="C49">
        <v>0</v>
      </c>
      <c r="D49" s="3">
        <f>1.25*'existing water'!D50</f>
        <v>35.0625</v>
      </c>
      <c r="E49" s="3">
        <f>1.25*'existing water'!E50</f>
        <v>4.6875</v>
      </c>
      <c r="F49" s="3">
        <v>0</v>
      </c>
      <c r="G49" s="3">
        <f t="shared" si="20"/>
        <v>0</v>
      </c>
      <c r="H49" s="3">
        <f t="shared" si="21"/>
        <v>0</v>
      </c>
      <c r="I49" s="3">
        <f t="shared" si="22"/>
        <v>0</v>
      </c>
    </row>
    <row r="50" spans="1:9" x14ac:dyDescent="0.25">
      <c r="A50" t="s">
        <v>31</v>
      </c>
      <c r="B50">
        <v>0</v>
      </c>
      <c r="C50">
        <v>0</v>
      </c>
      <c r="D50" s="3">
        <f>1.25*'existing water'!D51</f>
        <v>55.687500000000007</v>
      </c>
      <c r="E50" s="3">
        <f>1.25*'existing water'!E51</f>
        <v>4.6875</v>
      </c>
      <c r="F50" s="3">
        <v>0</v>
      </c>
      <c r="G50" s="3">
        <f t="shared" si="20"/>
        <v>0</v>
      </c>
      <c r="H50" s="3">
        <f t="shared" si="21"/>
        <v>0</v>
      </c>
      <c r="I50" s="3">
        <f t="shared" si="22"/>
        <v>0</v>
      </c>
    </row>
    <row r="51" spans="1:9" x14ac:dyDescent="0.25">
      <c r="A51" t="s">
        <v>32</v>
      </c>
      <c r="B51">
        <v>0</v>
      </c>
      <c r="C51">
        <v>0</v>
      </c>
      <c r="D51" s="3">
        <f>1.25*'existing water'!D52</f>
        <v>88.6875</v>
      </c>
      <c r="E51" s="3">
        <f>1.25*'existing water'!E52</f>
        <v>4.6875</v>
      </c>
      <c r="F51" s="3">
        <v>0</v>
      </c>
      <c r="G51" s="3">
        <f t="shared" si="20"/>
        <v>0</v>
      </c>
      <c r="H51" s="3">
        <f t="shared" si="21"/>
        <v>0</v>
      </c>
      <c r="I51" s="3">
        <f t="shared" si="22"/>
        <v>0</v>
      </c>
    </row>
    <row r="52" spans="1:9" x14ac:dyDescent="0.25">
      <c r="A52" t="s">
        <v>247</v>
      </c>
      <c r="B52">
        <v>1</v>
      </c>
      <c r="C52">
        <v>272</v>
      </c>
      <c r="D52" s="3">
        <f>1.25*'existing water'!D53</f>
        <v>165</v>
      </c>
      <c r="E52" s="3">
        <f>1.25*'existing water'!E53</f>
        <v>4.6875</v>
      </c>
      <c r="F52" s="3">
        <f t="shared" ref="F52" si="23">(C52/B52*E52)+D52</f>
        <v>1440</v>
      </c>
      <c r="G52" s="3">
        <f t="shared" si="20"/>
        <v>1440</v>
      </c>
      <c r="H52" s="3">
        <f t="shared" si="21"/>
        <v>17280</v>
      </c>
      <c r="I52" s="3">
        <f t="shared" si="22"/>
        <v>165</v>
      </c>
    </row>
    <row r="53" spans="1:9" x14ac:dyDescent="0.25">
      <c r="A53" t="s">
        <v>33</v>
      </c>
      <c r="B53">
        <v>0</v>
      </c>
      <c r="C53">
        <v>0</v>
      </c>
      <c r="D53" s="3">
        <f>1.25*'existing water'!D54</f>
        <v>226.87500000000003</v>
      </c>
      <c r="E53" s="3">
        <f>1.25*'existing water'!E54</f>
        <v>4.6875</v>
      </c>
      <c r="F53" s="3">
        <v>0</v>
      </c>
      <c r="G53" s="3">
        <f t="shared" si="20"/>
        <v>0</v>
      </c>
      <c r="H53" s="3">
        <f t="shared" si="21"/>
        <v>0</v>
      </c>
      <c r="I53" s="3">
        <f t="shared" si="22"/>
        <v>0</v>
      </c>
    </row>
    <row r="54" spans="1:9" x14ac:dyDescent="0.25">
      <c r="A54" t="s">
        <v>34</v>
      </c>
      <c r="B54">
        <v>0</v>
      </c>
      <c r="C54">
        <v>0</v>
      </c>
      <c r="D54" s="3">
        <f>1.25*'existing water'!D55</f>
        <v>519.75</v>
      </c>
      <c r="E54" s="3">
        <f>1.25*'existing water'!E55</f>
        <v>4.6875</v>
      </c>
      <c r="F54" s="3">
        <v>0</v>
      </c>
      <c r="G54" s="3">
        <f t="shared" si="20"/>
        <v>0</v>
      </c>
      <c r="H54" s="3">
        <f t="shared" si="21"/>
        <v>0</v>
      </c>
      <c r="I54" s="3">
        <f t="shared" si="22"/>
        <v>0</v>
      </c>
    </row>
    <row r="55" spans="1:9" x14ac:dyDescent="0.25">
      <c r="A55" t="s">
        <v>35</v>
      </c>
      <c r="B55">
        <v>3</v>
      </c>
      <c r="C55">
        <v>5395</v>
      </c>
      <c r="D55" s="3">
        <f>1.25*'existing water'!D56</f>
        <v>928.12500000000011</v>
      </c>
      <c r="E55" s="3">
        <f>1.25*'existing water'!E56</f>
        <v>4.6875</v>
      </c>
      <c r="F55" s="3">
        <f t="shared" ref="F55" si="24">(C55/B55*E55)+D55</f>
        <v>9357.8125</v>
      </c>
      <c r="G55" s="3">
        <f t="shared" si="20"/>
        <v>28073.4375</v>
      </c>
      <c r="H55" s="3">
        <f t="shared" si="21"/>
        <v>336881.25</v>
      </c>
      <c r="I55" s="3">
        <f t="shared" si="22"/>
        <v>2784.3750000000005</v>
      </c>
    </row>
    <row r="56" spans="1:9" s="5" customFormat="1" x14ac:dyDescent="0.25">
      <c r="A56" s="10" t="s">
        <v>69</v>
      </c>
      <c r="B56" s="5">
        <v>3</v>
      </c>
      <c r="D56" s="9"/>
      <c r="E56" s="9"/>
      <c r="G56" s="9">
        <f>SUM(G48:G55)</f>
        <v>29513.4375</v>
      </c>
      <c r="H56" s="9">
        <f>SUM(H48:H55)</f>
        <v>354161.25</v>
      </c>
    </row>
    <row r="57" spans="1:9" x14ac:dyDescent="0.25">
      <c r="D57" s="3"/>
      <c r="E57" s="3"/>
      <c r="G57" s="3"/>
      <c r="H57" s="3"/>
    </row>
    <row r="58" spans="1:9" s="28" customFormat="1" x14ac:dyDescent="0.25">
      <c r="A58" s="28" t="s">
        <v>84</v>
      </c>
      <c r="B58" s="28">
        <f>SUM(B56,B46,B36)</f>
        <v>43</v>
      </c>
      <c r="G58" s="33">
        <f>SUM(G56,G46,G36)</f>
        <v>34526.0625</v>
      </c>
      <c r="H58" s="33">
        <f>SUM(H56,H46,H36)</f>
        <v>414312.75</v>
      </c>
    </row>
    <row r="60" spans="1:9" s="17" customFormat="1" x14ac:dyDescent="0.25">
      <c r="A60" s="16" t="s">
        <v>85</v>
      </c>
      <c r="B60" s="17">
        <f>SUM(B58,B30)</f>
        <v>2638</v>
      </c>
      <c r="G60" s="18">
        <f>SUM(G58,G30)</f>
        <v>183983.875</v>
      </c>
      <c r="H60" s="18">
        <f>SUM(H58,H30)</f>
        <v>2207806.5</v>
      </c>
    </row>
  </sheetData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271-8079-4394-B2AE-F2864A684622}">
  <dimension ref="A1:L16"/>
  <sheetViews>
    <sheetView workbookViewId="0">
      <selection activeCell="A2" sqref="A2"/>
    </sheetView>
  </sheetViews>
  <sheetFormatPr defaultRowHeight="15" x14ac:dyDescent="0.25"/>
  <cols>
    <col min="1" max="1" width="22.42578125" customWidth="1"/>
  </cols>
  <sheetData>
    <row r="1" spans="1:12" ht="165" x14ac:dyDescent="0.25">
      <c r="A1" s="47" t="s">
        <v>122</v>
      </c>
    </row>
    <row r="2" spans="1:12" ht="39" customHeight="1" x14ac:dyDescent="0.25">
      <c r="A2" s="48"/>
      <c r="B2" s="48"/>
      <c r="C2" s="48"/>
      <c r="D2" s="74" t="s">
        <v>123</v>
      </c>
      <c r="E2" s="75"/>
      <c r="F2" s="76" t="s">
        <v>124</v>
      </c>
      <c r="G2" s="77"/>
      <c r="H2" s="78" t="s">
        <v>125</v>
      </c>
      <c r="I2" s="79"/>
    </row>
    <row r="3" spans="1:12" x14ac:dyDescent="0.25">
      <c r="A3" s="80" t="s">
        <v>126</v>
      </c>
      <c r="B3" s="49" t="s">
        <v>127</v>
      </c>
      <c r="C3" s="82" t="s">
        <v>129</v>
      </c>
      <c r="D3" s="51" t="s">
        <v>130</v>
      </c>
      <c r="E3" s="51" t="s">
        <v>132</v>
      </c>
      <c r="F3" s="53" t="s">
        <v>130</v>
      </c>
      <c r="G3" s="53" t="s">
        <v>132</v>
      </c>
      <c r="H3" s="55" t="s">
        <v>130</v>
      </c>
      <c r="I3" s="55" t="s">
        <v>132</v>
      </c>
    </row>
    <row r="4" spans="1:12" ht="39" x14ac:dyDescent="0.25">
      <c r="A4" s="81"/>
      <c r="B4" s="50" t="s">
        <v>128</v>
      </c>
      <c r="C4" s="83"/>
      <c r="D4" s="52" t="s">
        <v>131</v>
      </c>
      <c r="E4" s="52" t="s">
        <v>131</v>
      </c>
      <c r="F4" s="54" t="s">
        <v>131</v>
      </c>
      <c r="G4" s="54" t="s">
        <v>131</v>
      </c>
      <c r="H4" s="56" t="s">
        <v>133</v>
      </c>
      <c r="I4" s="56" t="s">
        <v>133</v>
      </c>
    </row>
    <row r="5" spans="1:12" ht="30" x14ac:dyDescent="0.25">
      <c r="A5" s="57" t="s">
        <v>134</v>
      </c>
      <c r="B5" s="57" t="s">
        <v>135</v>
      </c>
      <c r="C5" s="57" t="s">
        <v>136</v>
      </c>
      <c r="D5" s="58" t="s">
        <v>137</v>
      </c>
      <c r="E5" s="58" t="s">
        <v>138</v>
      </c>
      <c r="F5" s="59" t="s">
        <v>139</v>
      </c>
      <c r="G5" s="59" t="s">
        <v>140</v>
      </c>
      <c r="H5" s="60" t="s">
        <v>141</v>
      </c>
      <c r="I5" s="60" t="s">
        <v>142</v>
      </c>
    </row>
    <row r="6" spans="1:12" ht="30" x14ac:dyDescent="0.25">
      <c r="A6" s="57" t="s">
        <v>143</v>
      </c>
      <c r="B6" s="57" t="s">
        <v>144</v>
      </c>
      <c r="C6" s="57" t="s">
        <v>145</v>
      </c>
      <c r="D6" s="58" t="s">
        <v>146</v>
      </c>
      <c r="E6" s="58" t="s">
        <v>147</v>
      </c>
      <c r="F6" s="59" t="s">
        <v>148</v>
      </c>
      <c r="G6" s="59" t="s">
        <v>149</v>
      </c>
      <c r="H6" s="60" t="s">
        <v>150</v>
      </c>
      <c r="I6" s="60" t="s">
        <v>151</v>
      </c>
      <c r="K6">
        <v>23</v>
      </c>
    </row>
    <row r="7" spans="1:12" ht="30" x14ac:dyDescent="0.25">
      <c r="A7" s="57" t="s">
        <v>152</v>
      </c>
      <c r="B7" s="57" t="s">
        <v>153</v>
      </c>
      <c r="C7" s="57" t="s">
        <v>154</v>
      </c>
      <c r="D7" s="58" t="s">
        <v>155</v>
      </c>
      <c r="E7" s="58" t="s">
        <v>156</v>
      </c>
      <c r="F7" s="59" t="s">
        <v>157</v>
      </c>
      <c r="G7" s="59" t="s">
        <v>158</v>
      </c>
      <c r="H7" s="60" t="s">
        <v>159</v>
      </c>
      <c r="I7" s="60" t="s">
        <v>160</v>
      </c>
      <c r="K7">
        <v>37</v>
      </c>
      <c r="L7" s="61">
        <f>K7/K6</f>
        <v>1.6086956521739131</v>
      </c>
    </row>
    <row r="8" spans="1:12" ht="30" x14ac:dyDescent="0.25">
      <c r="A8" s="57" t="s">
        <v>161</v>
      </c>
      <c r="B8" s="57" t="s">
        <v>162</v>
      </c>
      <c r="C8" s="57" t="s">
        <v>163</v>
      </c>
      <c r="D8" s="58" t="s">
        <v>164</v>
      </c>
      <c r="E8" s="58" t="s">
        <v>165</v>
      </c>
      <c r="F8" s="59" t="s">
        <v>166</v>
      </c>
      <c r="G8" s="59" t="s">
        <v>167</v>
      </c>
      <c r="H8" s="60" t="s">
        <v>168</v>
      </c>
      <c r="I8" s="60" t="s">
        <v>169</v>
      </c>
      <c r="K8">
        <v>62</v>
      </c>
      <c r="L8" s="61">
        <f>K8/K6</f>
        <v>2.6956521739130435</v>
      </c>
    </row>
    <row r="9" spans="1:12" ht="30" x14ac:dyDescent="0.25">
      <c r="A9" s="57" t="s">
        <v>170</v>
      </c>
      <c r="B9" s="57" t="s">
        <v>171</v>
      </c>
      <c r="C9" s="57" t="s">
        <v>172</v>
      </c>
      <c r="D9" s="58" t="s">
        <v>173</v>
      </c>
      <c r="E9" s="58" t="s">
        <v>174</v>
      </c>
      <c r="F9" s="59" t="s">
        <v>175</v>
      </c>
      <c r="G9" s="59" t="s">
        <v>176</v>
      </c>
      <c r="H9" s="60" t="s">
        <v>177</v>
      </c>
      <c r="I9" s="60" t="s">
        <v>178</v>
      </c>
      <c r="K9">
        <v>81</v>
      </c>
      <c r="L9" s="61">
        <f>K9/$K$6</f>
        <v>3.5217391304347827</v>
      </c>
    </row>
    <row r="10" spans="1:12" ht="30" x14ac:dyDescent="0.25">
      <c r="A10" s="57" t="s">
        <v>179</v>
      </c>
      <c r="B10" s="57" t="s">
        <v>180</v>
      </c>
      <c r="C10" s="57" t="s">
        <v>181</v>
      </c>
      <c r="D10" s="58" t="s">
        <v>182</v>
      </c>
      <c r="E10" s="58" t="s">
        <v>183</v>
      </c>
      <c r="F10" s="59" t="s">
        <v>184</v>
      </c>
      <c r="G10" s="59" t="s">
        <v>185</v>
      </c>
      <c r="H10" s="60" t="s">
        <v>186</v>
      </c>
      <c r="I10" s="60" t="s">
        <v>187</v>
      </c>
      <c r="K10">
        <v>127</v>
      </c>
      <c r="L10" s="61">
        <f t="shared" ref="L10:L16" si="0">K10/$K$6</f>
        <v>5.5217391304347823</v>
      </c>
    </row>
    <row r="11" spans="1:12" ht="30" x14ac:dyDescent="0.25">
      <c r="A11" s="57" t="s">
        <v>188</v>
      </c>
      <c r="B11" s="57" t="s">
        <v>189</v>
      </c>
      <c r="C11" s="57" t="s">
        <v>190</v>
      </c>
      <c r="D11" s="58" t="s">
        <v>191</v>
      </c>
      <c r="E11" s="58" t="s">
        <v>192</v>
      </c>
      <c r="F11" s="59" t="s">
        <v>193</v>
      </c>
      <c r="G11" s="59" t="s">
        <v>194</v>
      </c>
      <c r="H11" s="60" t="s">
        <v>195</v>
      </c>
      <c r="I11" s="60" t="s">
        <v>196</v>
      </c>
      <c r="K11">
        <v>190</v>
      </c>
      <c r="L11" s="61">
        <f t="shared" si="0"/>
        <v>8.2608695652173907</v>
      </c>
    </row>
    <row r="12" spans="1:12" ht="30" x14ac:dyDescent="0.25">
      <c r="A12" s="57" t="s">
        <v>197</v>
      </c>
      <c r="B12" s="57" t="s">
        <v>198</v>
      </c>
      <c r="C12" s="57" t="s">
        <v>199</v>
      </c>
      <c r="D12" s="58" t="s">
        <v>200</v>
      </c>
      <c r="E12" s="58" t="s">
        <v>201</v>
      </c>
      <c r="F12" s="59" t="s">
        <v>202</v>
      </c>
      <c r="G12" s="59" t="s">
        <v>203</v>
      </c>
      <c r="H12" s="60" t="s">
        <v>204</v>
      </c>
      <c r="I12" s="60" t="s">
        <v>205</v>
      </c>
      <c r="K12">
        <v>273</v>
      </c>
      <c r="L12" s="61">
        <f t="shared" si="0"/>
        <v>11.869565217391305</v>
      </c>
    </row>
    <row r="13" spans="1:12" ht="30" x14ac:dyDescent="0.25">
      <c r="A13" s="57" t="s">
        <v>206</v>
      </c>
      <c r="B13" s="57" t="s">
        <v>207</v>
      </c>
      <c r="C13" s="57" t="s">
        <v>208</v>
      </c>
      <c r="D13" s="58" t="s">
        <v>209</v>
      </c>
      <c r="E13" s="58" t="s">
        <v>210</v>
      </c>
      <c r="F13" s="59" t="s">
        <v>211</v>
      </c>
      <c r="G13" s="59" t="s">
        <v>212</v>
      </c>
      <c r="H13" s="60" t="s">
        <v>213</v>
      </c>
      <c r="I13" s="60" t="s">
        <v>214</v>
      </c>
      <c r="K13">
        <v>480</v>
      </c>
      <c r="L13" s="61">
        <f t="shared" si="0"/>
        <v>20.869565217391305</v>
      </c>
    </row>
    <row r="14" spans="1:12" ht="30" x14ac:dyDescent="0.25">
      <c r="A14" s="57" t="s">
        <v>215</v>
      </c>
      <c r="B14" s="57" t="s">
        <v>216</v>
      </c>
      <c r="C14" s="57" t="s">
        <v>217</v>
      </c>
      <c r="D14" s="58" t="s">
        <v>218</v>
      </c>
      <c r="E14" s="58" t="s">
        <v>219</v>
      </c>
      <c r="F14" s="59" t="s">
        <v>220</v>
      </c>
      <c r="G14" s="59" t="s">
        <v>221</v>
      </c>
      <c r="H14" s="60" t="s">
        <v>222</v>
      </c>
      <c r="I14" s="60" t="s">
        <v>223</v>
      </c>
      <c r="K14">
        <v>750</v>
      </c>
      <c r="L14" s="61">
        <f t="shared" si="0"/>
        <v>32.608695652173914</v>
      </c>
    </row>
    <row r="15" spans="1:12" ht="45" x14ac:dyDescent="0.25">
      <c r="A15" s="57" t="s">
        <v>224</v>
      </c>
      <c r="B15" s="57" t="s">
        <v>225</v>
      </c>
      <c r="C15" s="57" t="s">
        <v>226</v>
      </c>
      <c r="D15" s="58" t="s">
        <v>227</v>
      </c>
      <c r="E15" s="58" t="s">
        <v>228</v>
      </c>
      <c r="F15" s="59" t="s">
        <v>222</v>
      </c>
      <c r="G15" s="59" t="s">
        <v>223</v>
      </c>
      <c r="H15" s="60" t="s">
        <v>229</v>
      </c>
      <c r="I15" s="60" t="s">
        <v>230</v>
      </c>
      <c r="K15">
        <v>1100</v>
      </c>
      <c r="L15" s="39">
        <f t="shared" si="0"/>
        <v>47.826086956521742</v>
      </c>
    </row>
    <row r="16" spans="1:12" ht="45" x14ac:dyDescent="0.25">
      <c r="A16" s="57" t="s">
        <v>231</v>
      </c>
      <c r="B16" s="57" t="s">
        <v>232</v>
      </c>
      <c r="C16" s="57" t="s">
        <v>233</v>
      </c>
      <c r="D16" s="58" t="s">
        <v>234</v>
      </c>
      <c r="E16" s="58" t="s">
        <v>235</v>
      </c>
      <c r="F16" s="59" t="s">
        <v>236</v>
      </c>
      <c r="G16" s="59" t="s">
        <v>237</v>
      </c>
      <c r="H16" s="60" t="s">
        <v>238</v>
      </c>
      <c r="I16" s="60" t="s">
        <v>239</v>
      </c>
      <c r="K16">
        <v>1900</v>
      </c>
      <c r="L16" s="39">
        <f t="shared" si="0"/>
        <v>82.608695652173907</v>
      </c>
    </row>
  </sheetData>
  <mergeCells count="5">
    <mergeCell ref="D2:E2"/>
    <mergeCell ref="F2:G2"/>
    <mergeCell ref="H2:I2"/>
    <mergeCell ref="A3:A4"/>
    <mergeCell ref="C3:C4"/>
  </mergeCells>
  <hyperlinks>
    <hyperlink ref="A3" r:id="rId1" display="https://flexpvc.com/Products/Sch40PVCPipe.shtml" xr:uid="{997EEED7-C16A-4DBB-BCCC-B3DA6EE8BCE7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tabSelected="1" zoomScale="85" zoomScaleNormal="85" workbookViewId="0">
      <selection activeCell="D44" sqref="D44:E46"/>
    </sheetView>
  </sheetViews>
  <sheetFormatPr defaultRowHeight="15" x14ac:dyDescent="0.25"/>
  <cols>
    <col min="1" max="1" width="34.42578125" customWidth="1"/>
    <col min="2" max="2" width="15.28515625" customWidth="1"/>
    <col min="3" max="3" width="23" customWidth="1"/>
    <col min="4" max="4" width="15.7109375" style="3" customWidth="1"/>
    <col min="5" max="5" width="19.7109375" style="3" customWidth="1"/>
    <col min="6" max="6" width="17" customWidth="1"/>
    <col min="7" max="7" width="20.42578125" style="3" customWidth="1"/>
    <col min="8" max="8" width="17" style="3" customWidth="1"/>
    <col min="9" max="9" width="19.42578125" style="3" customWidth="1"/>
  </cols>
  <sheetData>
    <row r="1" spans="1:13" x14ac:dyDescent="0.25">
      <c r="A1" t="s">
        <v>108</v>
      </c>
    </row>
    <row r="2" spans="1:13" x14ac:dyDescent="0.25">
      <c r="A2" s="2" t="s">
        <v>36</v>
      </c>
      <c r="B2" s="2" t="s">
        <v>87</v>
      </c>
      <c r="C2" s="2" t="s">
        <v>88</v>
      </c>
      <c r="D2" s="19" t="s">
        <v>60</v>
      </c>
      <c r="E2" s="19" t="s">
        <v>61</v>
      </c>
      <c r="F2" s="2" t="s">
        <v>58</v>
      </c>
      <c r="G2" s="19" t="s">
        <v>78</v>
      </c>
      <c r="H2" s="19" t="s">
        <v>90</v>
      </c>
      <c r="I2" s="19" t="s">
        <v>78</v>
      </c>
    </row>
    <row r="3" spans="1:13" x14ac:dyDescent="0.25">
      <c r="B3" s="2" t="s">
        <v>81</v>
      </c>
      <c r="C3" s="19" t="s">
        <v>89</v>
      </c>
      <c r="D3" s="19"/>
      <c r="E3" s="19" t="s">
        <v>62</v>
      </c>
      <c r="F3" s="2" t="s">
        <v>63</v>
      </c>
      <c r="G3" s="19" t="s">
        <v>67</v>
      </c>
      <c r="H3" s="19" t="s">
        <v>67</v>
      </c>
      <c r="I3" s="19" t="s">
        <v>71</v>
      </c>
    </row>
    <row r="4" spans="1:13" x14ac:dyDescent="0.25">
      <c r="B4" s="2"/>
      <c r="C4" s="19"/>
      <c r="D4" s="19"/>
      <c r="E4" s="19"/>
      <c r="F4" s="2"/>
      <c r="G4" s="19"/>
      <c r="H4" s="19"/>
      <c r="I4" s="19"/>
    </row>
    <row r="5" spans="1:13" x14ac:dyDescent="0.25">
      <c r="A5" t="s">
        <v>46</v>
      </c>
      <c r="B5">
        <v>2292</v>
      </c>
      <c r="C5" s="20" t="s">
        <v>91</v>
      </c>
      <c r="D5" s="3">
        <v>16</v>
      </c>
      <c r="E5" s="3">
        <v>3.55</v>
      </c>
      <c r="F5" s="3">
        <f>(C5/B5*E5)+D5</f>
        <v>35.422774869109944</v>
      </c>
      <c r="G5" s="3">
        <f>F5*B5</f>
        <v>81188.999999999985</v>
      </c>
      <c r="H5" s="3">
        <f>G5*12</f>
        <v>974267.99999999977</v>
      </c>
      <c r="I5" s="3">
        <f>D5*B5</f>
        <v>36672</v>
      </c>
      <c r="K5" s="38">
        <f>D5*1.09</f>
        <v>17.440000000000001</v>
      </c>
      <c r="M5" s="38"/>
    </row>
    <row r="6" spans="1:13" x14ac:dyDescent="0.25">
      <c r="A6" t="s">
        <v>47</v>
      </c>
      <c r="B6">
        <v>21</v>
      </c>
      <c r="C6">
        <v>140</v>
      </c>
      <c r="D6" s="3">
        <v>19</v>
      </c>
      <c r="E6" s="3">
        <v>3.55</v>
      </c>
      <c r="F6" s="3">
        <f t="shared" ref="F6:F8" si="0">(C6/B6*E6)+D6</f>
        <v>42.666666666666671</v>
      </c>
      <c r="G6" s="3">
        <f t="shared" ref="G6:G8" si="1">F6*B6</f>
        <v>896.00000000000011</v>
      </c>
      <c r="H6" s="3">
        <f t="shared" ref="H6:H8" si="2">G6*12</f>
        <v>10752.000000000002</v>
      </c>
      <c r="I6" s="3">
        <f t="shared" ref="I6:I8" si="3">D6*B6</f>
        <v>399</v>
      </c>
      <c r="K6" s="38">
        <f t="shared" ref="K6:K8" si="4">D6*1.09</f>
        <v>20.71</v>
      </c>
    </row>
    <row r="7" spans="1:13" x14ac:dyDescent="0.25">
      <c r="A7" t="s">
        <v>48</v>
      </c>
      <c r="B7">
        <v>1</v>
      </c>
      <c r="C7">
        <v>11</v>
      </c>
      <c r="D7" s="3">
        <v>30</v>
      </c>
      <c r="E7" s="3">
        <v>3.55</v>
      </c>
      <c r="F7" s="3">
        <f t="shared" si="0"/>
        <v>69.05</v>
      </c>
      <c r="G7" s="3">
        <f t="shared" si="1"/>
        <v>69.05</v>
      </c>
      <c r="H7" s="3">
        <f t="shared" si="2"/>
        <v>828.59999999999991</v>
      </c>
      <c r="I7" s="3">
        <f t="shared" si="3"/>
        <v>30</v>
      </c>
      <c r="K7" s="38">
        <f t="shared" si="4"/>
        <v>32.700000000000003</v>
      </c>
    </row>
    <row r="8" spans="1:13" x14ac:dyDescent="0.25">
      <c r="A8" t="s">
        <v>49</v>
      </c>
      <c r="B8">
        <v>2</v>
      </c>
      <c r="C8">
        <v>13</v>
      </c>
      <c r="D8" s="3">
        <v>46</v>
      </c>
      <c r="E8" s="3">
        <v>3.55</v>
      </c>
      <c r="F8" s="3">
        <f t="shared" si="0"/>
        <v>69.075000000000003</v>
      </c>
      <c r="G8" s="3">
        <f t="shared" si="1"/>
        <v>138.15</v>
      </c>
      <c r="H8" s="3">
        <f t="shared" si="2"/>
        <v>1657.8000000000002</v>
      </c>
      <c r="I8" s="3">
        <f t="shared" si="3"/>
        <v>92</v>
      </c>
      <c r="K8" s="38">
        <f t="shared" si="4"/>
        <v>50.14</v>
      </c>
    </row>
    <row r="9" spans="1:13" s="5" customFormat="1" x14ac:dyDescent="0.25">
      <c r="A9" s="10" t="s">
        <v>69</v>
      </c>
      <c r="B9" s="5">
        <f>SUM(B5:B8)</f>
        <v>2316</v>
      </c>
      <c r="D9" s="9"/>
      <c r="E9" s="9"/>
      <c r="F9" s="9"/>
      <c r="G9" s="9">
        <f>SUM(G5:G8)</f>
        <v>82292.199999999983</v>
      </c>
      <c r="H9" s="9">
        <f>SUM(H5:H8)</f>
        <v>987506.39999999979</v>
      </c>
      <c r="I9" s="9">
        <f>SUM(I5:I8)</f>
        <v>37193</v>
      </c>
    </row>
    <row r="10" spans="1:13" x14ac:dyDescent="0.25">
      <c r="F10" s="3"/>
    </row>
    <row r="11" spans="1:13" x14ac:dyDescent="0.25">
      <c r="A11" t="s">
        <v>5</v>
      </c>
      <c r="B11">
        <v>313</v>
      </c>
      <c r="C11">
        <v>1806</v>
      </c>
      <c r="D11" s="3">
        <v>16</v>
      </c>
      <c r="E11" s="3">
        <v>3.55</v>
      </c>
      <c r="F11" s="3">
        <f t="shared" ref="F11" si="5">(C11/B11*E11)+D11</f>
        <v>36.483386581469645</v>
      </c>
      <c r="G11" s="3">
        <f t="shared" ref="G11" si="6">F11*B11</f>
        <v>11419.3</v>
      </c>
      <c r="H11" s="3">
        <f t="shared" ref="H11" si="7">G11*12</f>
        <v>137031.59999999998</v>
      </c>
      <c r="I11" s="3">
        <f t="shared" ref="I11" si="8">D11*B11</f>
        <v>5008</v>
      </c>
      <c r="K11" s="38">
        <f t="shared" ref="K11:K15" si="9">D11*1.09</f>
        <v>17.440000000000001</v>
      </c>
    </row>
    <row r="12" spans="1:13" x14ac:dyDescent="0.25">
      <c r="A12" t="s">
        <v>50</v>
      </c>
      <c r="B12">
        <v>31</v>
      </c>
      <c r="C12">
        <v>303</v>
      </c>
      <c r="D12" s="3">
        <v>19</v>
      </c>
      <c r="E12" s="3">
        <v>3.55</v>
      </c>
      <c r="F12" s="3">
        <f t="shared" ref="F12:F15" si="10">(C12/B12*E12)+D12</f>
        <v>53.698387096774191</v>
      </c>
      <c r="G12" s="3">
        <f t="shared" ref="G12:G15" si="11">F12*B12</f>
        <v>1664.6499999999999</v>
      </c>
      <c r="H12" s="3">
        <f t="shared" ref="H12:H15" si="12">G12*12</f>
        <v>19975.8</v>
      </c>
      <c r="I12" s="3">
        <f t="shared" ref="I12:I15" si="13">D12*B12</f>
        <v>589</v>
      </c>
      <c r="K12" s="38">
        <f t="shared" si="9"/>
        <v>20.71</v>
      </c>
      <c r="L12" s="38"/>
    </row>
    <row r="13" spans="1:13" x14ac:dyDescent="0.25">
      <c r="A13" t="s">
        <v>7</v>
      </c>
      <c r="B13">
        <v>2</v>
      </c>
      <c r="C13">
        <v>21</v>
      </c>
      <c r="D13" s="3">
        <v>30</v>
      </c>
      <c r="E13" s="3">
        <v>3.55</v>
      </c>
      <c r="F13" s="3">
        <f t="shared" si="10"/>
        <v>67.275000000000006</v>
      </c>
      <c r="G13" s="3">
        <f t="shared" si="11"/>
        <v>134.55000000000001</v>
      </c>
      <c r="H13" s="3">
        <f t="shared" si="12"/>
        <v>1614.6000000000001</v>
      </c>
      <c r="I13" s="3">
        <f t="shared" si="13"/>
        <v>60</v>
      </c>
      <c r="K13" s="38">
        <f t="shared" si="9"/>
        <v>32.700000000000003</v>
      </c>
      <c r="L13" s="38"/>
    </row>
    <row r="14" spans="1:13" x14ac:dyDescent="0.25">
      <c r="A14" t="s">
        <v>8</v>
      </c>
      <c r="B14">
        <v>48</v>
      </c>
      <c r="C14" s="4">
        <v>2366</v>
      </c>
      <c r="D14" s="3">
        <v>46</v>
      </c>
      <c r="E14" s="3">
        <v>3.55</v>
      </c>
      <c r="F14" s="3">
        <f t="shared" si="10"/>
        <v>220.98541666666665</v>
      </c>
      <c r="G14" s="3">
        <f t="shared" si="11"/>
        <v>10607.3</v>
      </c>
      <c r="H14" s="3">
        <f t="shared" si="12"/>
        <v>127287.59999999999</v>
      </c>
      <c r="I14" s="3">
        <f t="shared" si="13"/>
        <v>2208</v>
      </c>
      <c r="K14" s="38">
        <f t="shared" si="9"/>
        <v>50.14</v>
      </c>
      <c r="L14" s="38"/>
    </row>
    <row r="15" spans="1:13" x14ac:dyDescent="0.25">
      <c r="A15" t="s">
        <v>9</v>
      </c>
      <c r="B15">
        <v>1</v>
      </c>
      <c r="C15">
        <v>529</v>
      </c>
      <c r="D15" s="3">
        <v>85</v>
      </c>
      <c r="E15" s="3">
        <v>3.55</v>
      </c>
      <c r="F15" s="3">
        <f t="shared" si="10"/>
        <v>1962.9499999999998</v>
      </c>
      <c r="G15" s="3">
        <f t="shared" si="11"/>
        <v>1962.9499999999998</v>
      </c>
      <c r="H15" s="3">
        <f t="shared" si="12"/>
        <v>23555.399999999998</v>
      </c>
      <c r="I15" s="3">
        <f t="shared" si="13"/>
        <v>85</v>
      </c>
      <c r="K15" s="38">
        <f t="shared" si="9"/>
        <v>92.65</v>
      </c>
      <c r="L15" s="38"/>
    </row>
    <row r="16" spans="1:13" s="5" customFormat="1" x14ac:dyDescent="0.25">
      <c r="A16" s="10" t="s">
        <v>69</v>
      </c>
      <c r="B16" s="5">
        <f>SUM(B11:B15)</f>
        <v>395</v>
      </c>
      <c r="D16" s="9"/>
      <c r="E16" s="9"/>
      <c r="F16" s="9"/>
      <c r="G16" s="9">
        <f>SUM(G11:G15)</f>
        <v>25788.749999999996</v>
      </c>
      <c r="H16" s="9">
        <f>SUM(H11:H15)</f>
        <v>309465</v>
      </c>
      <c r="I16" s="9">
        <f>SUM(I11:I15)</f>
        <v>7950</v>
      </c>
    </row>
    <row r="17" spans="1:11" x14ac:dyDescent="0.25">
      <c r="F17" s="3"/>
    </row>
    <row r="18" spans="1:11" x14ac:dyDescent="0.25">
      <c r="A18" t="s">
        <v>10</v>
      </c>
      <c r="B18">
        <v>2</v>
      </c>
      <c r="C18">
        <v>2</v>
      </c>
      <c r="D18" s="3">
        <v>16</v>
      </c>
      <c r="E18" s="3">
        <v>3.15</v>
      </c>
      <c r="F18" s="3">
        <f t="shared" ref="F18:F19" si="14">(C18/B18*E18)+D18</f>
        <v>19.149999999999999</v>
      </c>
      <c r="G18" s="3">
        <f t="shared" ref="G18:G19" si="15">F18*B18</f>
        <v>38.299999999999997</v>
      </c>
      <c r="H18" s="3">
        <f t="shared" ref="H18:H19" si="16">G18*12</f>
        <v>459.59999999999997</v>
      </c>
      <c r="I18" s="3">
        <f t="shared" ref="I18:I19" si="17">D18*B18</f>
        <v>32</v>
      </c>
      <c r="K18" s="38">
        <f t="shared" ref="K18:K25" si="18">D18*1.09</f>
        <v>17.440000000000001</v>
      </c>
    </row>
    <row r="19" spans="1:11" x14ac:dyDescent="0.25">
      <c r="A19" t="s">
        <v>51</v>
      </c>
      <c r="B19">
        <v>4</v>
      </c>
      <c r="C19">
        <v>11</v>
      </c>
      <c r="D19" s="3">
        <v>19</v>
      </c>
      <c r="E19" s="3">
        <v>3.15</v>
      </c>
      <c r="F19" s="3">
        <f t="shared" si="14"/>
        <v>27.662500000000001</v>
      </c>
      <c r="G19" s="3">
        <f t="shared" si="15"/>
        <v>110.65</v>
      </c>
      <c r="H19" s="3">
        <f t="shared" si="16"/>
        <v>1327.8000000000002</v>
      </c>
      <c r="I19" s="3">
        <f t="shared" si="17"/>
        <v>76</v>
      </c>
      <c r="K19" s="38">
        <f t="shared" si="18"/>
        <v>20.71</v>
      </c>
    </row>
    <row r="20" spans="1:11" x14ac:dyDescent="0.25">
      <c r="A20" t="s">
        <v>11</v>
      </c>
      <c r="B20">
        <v>0</v>
      </c>
      <c r="C20">
        <v>0</v>
      </c>
      <c r="D20" s="3">
        <v>30</v>
      </c>
      <c r="E20" s="3">
        <v>3.15</v>
      </c>
      <c r="F20" s="3">
        <v>0</v>
      </c>
      <c r="G20" s="3">
        <v>0</v>
      </c>
      <c r="H20" s="3">
        <v>0</v>
      </c>
      <c r="I20" s="3">
        <v>0</v>
      </c>
      <c r="K20" s="38">
        <f t="shared" si="18"/>
        <v>32.700000000000003</v>
      </c>
    </row>
    <row r="21" spans="1:11" x14ac:dyDescent="0.25">
      <c r="A21" t="s">
        <v>12</v>
      </c>
      <c r="B21">
        <v>10</v>
      </c>
      <c r="C21" s="4">
        <v>2771</v>
      </c>
      <c r="D21" s="3">
        <v>46</v>
      </c>
      <c r="E21" s="3">
        <v>3.15</v>
      </c>
      <c r="F21" s="3">
        <f t="shared" ref="F21" si="19">(C21/B21*E21)+D21</f>
        <v>918.86500000000001</v>
      </c>
      <c r="G21" s="3">
        <f t="shared" ref="G21" si="20">F21*B21</f>
        <v>9188.65</v>
      </c>
      <c r="H21" s="3">
        <f t="shared" ref="H21" si="21">G21*12</f>
        <v>110263.79999999999</v>
      </c>
      <c r="I21" s="3">
        <f t="shared" ref="I21" si="22">D21*B21</f>
        <v>460</v>
      </c>
      <c r="K21" s="38">
        <f t="shared" si="18"/>
        <v>50.14</v>
      </c>
    </row>
    <row r="22" spans="1:11" x14ac:dyDescent="0.25">
      <c r="A22" t="s">
        <v>13</v>
      </c>
      <c r="B22">
        <v>0</v>
      </c>
      <c r="C22">
        <v>0</v>
      </c>
      <c r="D22" s="3">
        <v>85</v>
      </c>
      <c r="E22" s="3">
        <v>3.15</v>
      </c>
      <c r="F22" s="3">
        <v>0</v>
      </c>
      <c r="G22" s="3">
        <v>0</v>
      </c>
      <c r="H22" s="3">
        <v>0</v>
      </c>
      <c r="I22" s="3">
        <v>0</v>
      </c>
      <c r="K22" s="38">
        <f t="shared" si="18"/>
        <v>92.65</v>
      </c>
    </row>
    <row r="23" spans="1:11" x14ac:dyDescent="0.25">
      <c r="A23" t="s">
        <v>52</v>
      </c>
      <c r="B23">
        <v>0</v>
      </c>
      <c r="C23">
        <v>0</v>
      </c>
      <c r="D23" s="3">
        <v>120</v>
      </c>
      <c r="E23" s="3">
        <v>3.15</v>
      </c>
      <c r="F23" s="3">
        <v>0</v>
      </c>
      <c r="G23" s="3">
        <v>0</v>
      </c>
      <c r="H23" s="3">
        <v>0</v>
      </c>
      <c r="I23" s="3">
        <v>0</v>
      </c>
      <c r="K23" s="38">
        <f t="shared" si="18"/>
        <v>130.80000000000001</v>
      </c>
    </row>
    <row r="24" spans="1:11" x14ac:dyDescent="0.25">
      <c r="A24" t="s">
        <v>15</v>
      </c>
      <c r="B24">
        <v>2</v>
      </c>
      <c r="C24">
        <v>10</v>
      </c>
      <c r="D24" s="3">
        <v>260</v>
      </c>
      <c r="E24" s="3">
        <v>3.15</v>
      </c>
      <c r="F24" s="3">
        <f t="shared" ref="F24:F25" si="23">(C24/B24*E24)+D24</f>
        <v>275.75</v>
      </c>
      <c r="G24" s="3">
        <f t="shared" ref="G24:G25" si="24">F24*B24</f>
        <v>551.5</v>
      </c>
      <c r="H24" s="3">
        <f t="shared" ref="H24:H25" si="25">G24*12</f>
        <v>6618</v>
      </c>
      <c r="I24" s="3">
        <f t="shared" ref="I24:I25" si="26">D24*B24</f>
        <v>520</v>
      </c>
      <c r="K24" s="38">
        <f t="shared" si="18"/>
        <v>283.40000000000003</v>
      </c>
    </row>
    <row r="25" spans="1:11" x14ac:dyDescent="0.25">
      <c r="A25" t="s">
        <v>43</v>
      </c>
      <c r="B25">
        <v>1</v>
      </c>
      <c r="C25" s="4">
        <v>5357</v>
      </c>
      <c r="D25" s="3">
        <v>460</v>
      </c>
      <c r="E25" s="3">
        <v>3.15</v>
      </c>
      <c r="F25" s="3">
        <f t="shared" si="23"/>
        <v>17334.55</v>
      </c>
      <c r="G25" s="3">
        <f t="shared" si="24"/>
        <v>17334.55</v>
      </c>
      <c r="H25" s="3">
        <f t="shared" si="25"/>
        <v>208014.59999999998</v>
      </c>
      <c r="I25" s="3">
        <f t="shared" si="26"/>
        <v>460</v>
      </c>
      <c r="K25" s="38">
        <f t="shared" si="18"/>
        <v>501.40000000000003</v>
      </c>
    </row>
    <row r="26" spans="1:11" s="5" customFormat="1" x14ac:dyDescent="0.25">
      <c r="A26" s="10" t="s">
        <v>69</v>
      </c>
      <c r="B26" s="5">
        <f>SUM(B18:B25)</f>
        <v>19</v>
      </c>
      <c r="C26" s="22"/>
      <c r="D26" s="9"/>
      <c r="E26" s="9"/>
      <c r="F26" s="9"/>
      <c r="G26" s="9">
        <f>SUM(G18:G25)</f>
        <v>27223.65</v>
      </c>
      <c r="H26" s="9">
        <f>SUM(H18:H25)</f>
        <v>326683.79999999993</v>
      </c>
      <c r="I26" s="9">
        <f>SUM(I18:I25)</f>
        <v>1548</v>
      </c>
    </row>
    <row r="27" spans="1:11" x14ac:dyDescent="0.25">
      <c r="F27" s="3"/>
    </row>
    <row r="28" spans="1:11" x14ac:dyDescent="0.25">
      <c r="A28" t="s">
        <v>17</v>
      </c>
      <c r="B28">
        <v>5</v>
      </c>
      <c r="C28">
        <v>40</v>
      </c>
      <c r="D28" s="3">
        <v>16</v>
      </c>
      <c r="E28" s="3">
        <v>3.55</v>
      </c>
      <c r="F28" s="3">
        <f t="shared" ref="F28" si="27">(C28/B28*E28)+D28</f>
        <v>44.4</v>
      </c>
      <c r="G28" s="3">
        <f t="shared" ref="G28" si="28">F28*B28</f>
        <v>222</v>
      </c>
      <c r="H28" s="3">
        <f t="shared" ref="H28" si="29">G28*12</f>
        <v>2664</v>
      </c>
      <c r="I28" s="3">
        <f t="shared" ref="I28" si="30">D28*B28</f>
        <v>80</v>
      </c>
    </row>
    <row r="29" spans="1:11" x14ac:dyDescent="0.25">
      <c r="F29" s="3"/>
    </row>
    <row r="30" spans="1:11" s="35" customFormat="1" x14ac:dyDescent="0.25">
      <c r="A30" s="34" t="s">
        <v>70</v>
      </c>
      <c r="B30" s="35">
        <f>SUM(B28,B26,B16,B9)</f>
        <v>2735</v>
      </c>
      <c r="D30" s="36"/>
      <c r="E30" s="36"/>
      <c r="F30" s="36"/>
      <c r="G30" s="36">
        <f>SUM(G28,G26,G16,G9)</f>
        <v>135526.59999999998</v>
      </c>
      <c r="H30" s="36">
        <f>SUM(H28,H26,H16,H9)</f>
        <v>1626319.1999999997</v>
      </c>
      <c r="I30" s="36">
        <f>SUM(I28,I26,I16,I9)</f>
        <v>46771</v>
      </c>
    </row>
    <row r="31" spans="1:11" x14ac:dyDescent="0.25">
      <c r="F31" s="3"/>
    </row>
    <row r="32" spans="1:11" x14ac:dyDescent="0.25">
      <c r="F32" s="3"/>
    </row>
    <row r="33" spans="1:11" x14ac:dyDescent="0.25">
      <c r="A33" t="s">
        <v>53</v>
      </c>
      <c r="B33">
        <v>3858</v>
      </c>
      <c r="C33">
        <v>17171</v>
      </c>
      <c r="D33" s="3">
        <f>(1.5*D5)</f>
        <v>24</v>
      </c>
      <c r="E33" s="3">
        <f>1.5*E5</f>
        <v>5.3249999999999993</v>
      </c>
      <c r="F33" s="3">
        <f t="shared" ref="F33:F36" si="31">(C33/B33*E33)+D33</f>
        <v>47.700252721617417</v>
      </c>
      <c r="G33" s="3">
        <f t="shared" ref="G33:G36" si="32">F33*B33</f>
        <v>184027.57499999998</v>
      </c>
      <c r="H33" s="3">
        <f t="shared" ref="H33:H36" si="33">G33*12</f>
        <v>2208330.9</v>
      </c>
      <c r="I33" s="3">
        <f t="shared" ref="I33:I36" si="34">D33*B33</f>
        <v>92592</v>
      </c>
      <c r="K33" s="73"/>
    </row>
    <row r="34" spans="1:11" x14ac:dyDescent="0.25">
      <c r="A34" t="s">
        <v>54</v>
      </c>
      <c r="B34">
        <v>208</v>
      </c>
      <c r="C34">
        <v>1562</v>
      </c>
      <c r="D34" s="3">
        <f t="shared" ref="D34:D36" si="35">(1.5*D6)</f>
        <v>28.5</v>
      </c>
      <c r="E34" s="3">
        <f>1.5*E6</f>
        <v>5.3249999999999993</v>
      </c>
      <c r="F34" s="3">
        <f t="shared" si="31"/>
        <v>68.488701923076917</v>
      </c>
      <c r="G34" s="3">
        <f t="shared" si="32"/>
        <v>14245.649999999998</v>
      </c>
      <c r="H34" s="3">
        <f t="shared" si="33"/>
        <v>170947.8</v>
      </c>
      <c r="I34" s="3">
        <f t="shared" si="34"/>
        <v>5928</v>
      </c>
    </row>
    <row r="35" spans="1:11" x14ac:dyDescent="0.25">
      <c r="A35" t="s">
        <v>55</v>
      </c>
      <c r="B35">
        <v>0</v>
      </c>
      <c r="C35">
        <v>0</v>
      </c>
      <c r="D35" s="3">
        <f t="shared" si="35"/>
        <v>45</v>
      </c>
      <c r="E35" s="3">
        <f t="shared" ref="E35:E36" si="36">1.5*E7</f>
        <v>5.3249999999999993</v>
      </c>
      <c r="F35" s="3">
        <v>0</v>
      </c>
      <c r="G35" s="3">
        <f t="shared" si="32"/>
        <v>0</v>
      </c>
      <c r="H35" s="3">
        <f t="shared" si="33"/>
        <v>0</v>
      </c>
      <c r="I35" s="3">
        <f t="shared" si="34"/>
        <v>0</v>
      </c>
    </row>
    <row r="36" spans="1:11" x14ac:dyDescent="0.25">
      <c r="A36" t="s">
        <v>56</v>
      </c>
      <c r="B36">
        <v>13</v>
      </c>
      <c r="C36">
        <v>434</v>
      </c>
      <c r="D36" s="3">
        <f t="shared" si="35"/>
        <v>69</v>
      </c>
      <c r="E36" s="3">
        <f t="shared" si="36"/>
        <v>5.3249999999999993</v>
      </c>
      <c r="F36" s="3">
        <f t="shared" si="31"/>
        <v>246.7730769230769</v>
      </c>
      <c r="G36" s="3">
        <f t="shared" si="32"/>
        <v>3208.0499999999997</v>
      </c>
      <c r="H36" s="3">
        <f t="shared" si="33"/>
        <v>38496.6</v>
      </c>
      <c r="I36" s="3">
        <f t="shared" si="34"/>
        <v>897</v>
      </c>
    </row>
    <row r="37" spans="1:11" s="5" customFormat="1" x14ac:dyDescent="0.25">
      <c r="A37" s="10" t="s">
        <v>69</v>
      </c>
      <c r="B37" s="5">
        <f>SUM(B33:B36)</f>
        <v>4079</v>
      </c>
      <c r="D37" s="9"/>
      <c r="E37" s="9"/>
      <c r="F37" s="9"/>
      <c r="G37" s="9">
        <f>SUM(G33:G36)</f>
        <v>201481.27499999997</v>
      </c>
      <c r="H37" s="9">
        <f>SUM(H33:H36)</f>
        <v>2417775.2999999998</v>
      </c>
      <c r="I37" s="9">
        <f>SUM(I33:I36)</f>
        <v>99417</v>
      </c>
    </row>
    <row r="38" spans="1:11" x14ac:dyDescent="0.25">
      <c r="F38" s="3"/>
    </row>
    <row r="39" spans="1:11" x14ac:dyDescent="0.25">
      <c r="A39" t="s">
        <v>44</v>
      </c>
      <c r="B39">
        <v>148</v>
      </c>
      <c r="C39">
        <v>822</v>
      </c>
      <c r="D39" s="3">
        <f>(1.5*D11)</f>
        <v>24</v>
      </c>
      <c r="E39" s="3">
        <f t="shared" ref="E39:E43" si="37">1.5*E11</f>
        <v>5.3249999999999993</v>
      </c>
      <c r="F39" s="3">
        <f t="shared" ref="F39:F40" si="38">(C39/B39*E39)+D39</f>
        <v>53.575337837837836</v>
      </c>
      <c r="G39" s="3">
        <f t="shared" ref="G39:G40" si="39">F39*B39</f>
        <v>7929.15</v>
      </c>
      <c r="H39" s="3">
        <f t="shared" ref="H39:H40" si="40">G39*12</f>
        <v>95149.799999999988</v>
      </c>
      <c r="I39" s="3">
        <f t="shared" ref="I39:I40" si="41">D39*B39</f>
        <v>3552</v>
      </c>
    </row>
    <row r="40" spans="1:11" x14ac:dyDescent="0.25">
      <c r="A40" t="s">
        <v>45</v>
      </c>
      <c r="B40">
        <v>23</v>
      </c>
      <c r="C40">
        <v>387</v>
      </c>
      <c r="D40" s="3">
        <f t="shared" ref="D40:D43" si="42">(1.5*D12)</f>
        <v>28.5</v>
      </c>
      <c r="E40" s="3">
        <f t="shared" si="37"/>
        <v>5.3249999999999993</v>
      </c>
      <c r="F40" s="3">
        <f t="shared" si="38"/>
        <v>118.09891304347825</v>
      </c>
      <c r="G40" s="3">
        <f t="shared" si="39"/>
        <v>2716.2749999999996</v>
      </c>
      <c r="H40" s="3">
        <f t="shared" si="40"/>
        <v>32595.299999999996</v>
      </c>
      <c r="I40" s="3">
        <f t="shared" si="41"/>
        <v>655.5</v>
      </c>
    </row>
    <row r="41" spans="1:11" x14ac:dyDescent="0.25">
      <c r="A41" t="s">
        <v>24</v>
      </c>
      <c r="B41">
        <v>0</v>
      </c>
      <c r="C41">
        <v>0</v>
      </c>
      <c r="D41" s="3">
        <f t="shared" si="42"/>
        <v>45</v>
      </c>
      <c r="E41" s="3">
        <f t="shared" si="37"/>
        <v>5.3249999999999993</v>
      </c>
      <c r="F41" s="3">
        <v>0</v>
      </c>
      <c r="G41" s="3">
        <v>0</v>
      </c>
      <c r="H41" s="3">
        <v>0</v>
      </c>
      <c r="I41" s="3">
        <v>0</v>
      </c>
    </row>
    <row r="42" spans="1:11" x14ac:dyDescent="0.25">
      <c r="A42" t="s">
        <v>25</v>
      </c>
      <c r="B42">
        <v>25</v>
      </c>
      <c r="C42">
        <v>1323</v>
      </c>
      <c r="D42" s="3">
        <f t="shared" si="42"/>
        <v>69</v>
      </c>
      <c r="E42" s="3">
        <f t="shared" si="37"/>
        <v>5.3249999999999993</v>
      </c>
      <c r="F42" s="3">
        <f t="shared" ref="F42:F43" si="43">(C42/B42*E42)+D42</f>
        <v>350.79899999999998</v>
      </c>
      <c r="G42" s="3">
        <f t="shared" ref="G42:G43" si="44">F42*B42</f>
        <v>8769.9749999999985</v>
      </c>
      <c r="H42" s="3">
        <f t="shared" ref="H42:H43" si="45">G42*12</f>
        <v>105239.69999999998</v>
      </c>
      <c r="I42" s="3">
        <f t="shared" ref="I42:I43" si="46">D42*B42</f>
        <v>1725</v>
      </c>
    </row>
    <row r="43" spans="1:11" x14ac:dyDescent="0.25">
      <c r="A43" t="s">
        <v>26</v>
      </c>
      <c r="B43">
        <v>1</v>
      </c>
      <c r="C43">
        <v>18</v>
      </c>
      <c r="D43" s="3">
        <f t="shared" si="42"/>
        <v>127.5</v>
      </c>
      <c r="E43" s="3">
        <f t="shared" si="37"/>
        <v>5.3249999999999993</v>
      </c>
      <c r="F43" s="3">
        <f t="shared" si="43"/>
        <v>223.35</v>
      </c>
      <c r="G43" s="3">
        <f t="shared" si="44"/>
        <v>223.35</v>
      </c>
      <c r="H43" s="3">
        <f t="shared" si="45"/>
        <v>2680.2</v>
      </c>
      <c r="I43" s="3">
        <f t="shared" si="46"/>
        <v>127.5</v>
      </c>
    </row>
    <row r="44" spans="1:11" x14ac:dyDescent="0.25">
      <c r="A44" t="s">
        <v>27</v>
      </c>
      <c r="B44">
        <v>0</v>
      </c>
      <c r="C44">
        <v>0</v>
      </c>
      <c r="D44" s="84">
        <f>1.78*D43</f>
        <v>226.95000000000002</v>
      </c>
      <c r="E44" s="85">
        <v>5.33</v>
      </c>
      <c r="F44" s="3">
        <v>0</v>
      </c>
      <c r="G44" s="3">
        <v>0</v>
      </c>
      <c r="H44" s="3">
        <v>0</v>
      </c>
      <c r="I44" s="3">
        <v>0</v>
      </c>
      <c r="K44" s="38"/>
    </row>
    <row r="45" spans="1:11" x14ac:dyDescent="0.25">
      <c r="A45" t="s">
        <v>28</v>
      </c>
      <c r="B45">
        <v>4</v>
      </c>
      <c r="C45">
        <v>14</v>
      </c>
      <c r="D45" s="84">
        <f>D44*2</f>
        <v>453.90000000000003</v>
      </c>
      <c r="E45" s="85">
        <v>5.33</v>
      </c>
      <c r="F45" s="3">
        <f t="shared" ref="F45:F46" si="47">(C45/B45*E45)+D45</f>
        <v>472.55500000000006</v>
      </c>
      <c r="G45" s="3">
        <f t="shared" ref="G45:G46" si="48">F45*B45</f>
        <v>1890.2200000000003</v>
      </c>
      <c r="H45" s="3">
        <f t="shared" ref="H45:H46" si="49">G45*12</f>
        <v>22682.640000000003</v>
      </c>
      <c r="I45" s="3">
        <f t="shared" ref="I45:I46" si="50">D45*B45</f>
        <v>1815.6000000000001</v>
      </c>
    </row>
    <row r="46" spans="1:11" x14ac:dyDescent="0.25">
      <c r="A46" t="s">
        <v>250</v>
      </c>
      <c r="B46">
        <v>1</v>
      </c>
      <c r="C46">
        <v>5</v>
      </c>
      <c r="D46" s="84">
        <f>D45*1.75</f>
        <v>794.32500000000005</v>
      </c>
      <c r="E46" s="85">
        <v>5.33</v>
      </c>
      <c r="F46" s="3">
        <f t="shared" si="47"/>
        <v>820.97500000000002</v>
      </c>
      <c r="G46" s="3">
        <f t="shared" si="48"/>
        <v>820.97500000000002</v>
      </c>
      <c r="H46" s="3">
        <f t="shared" si="49"/>
        <v>9851.7000000000007</v>
      </c>
      <c r="I46" s="3">
        <f t="shared" si="50"/>
        <v>794.32500000000005</v>
      </c>
    </row>
    <row r="47" spans="1:11" s="6" customFormat="1" x14ac:dyDescent="0.25">
      <c r="A47" s="10" t="s">
        <v>69</v>
      </c>
      <c r="B47" s="6">
        <f>SUM(B39:B46)</f>
        <v>202</v>
      </c>
      <c r="D47" s="7"/>
      <c r="E47" s="7"/>
      <c r="F47" s="7"/>
      <c r="G47" s="7">
        <f>SUM(G39:G45)</f>
        <v>21528.969999999998</v>
      </c>
      <c r="H47" s="7">
        <f>SUM(H39:H45)</f>
        <v>258347.63999999998</v>
      </c>
      <c r="I47" s="7">
        <f>SUM(I39:I45)</f>
        <v>7875.6</v>
      </c>
    </row>
    <row r="48" spans="1:11" x14ac:dyDescent="0.25">
      <c r="F48" s="3"/>
    </row>
    <row r="49" spans="1:9" x14ac:dyDescent="0.25">
      <c r="A49" t="s">
        <v>29</v>
      </c>
      <c r="B49">
        <v>0</v>
      </c>
      <c r="C49">
        <v>0</v>
      </c>
      <c r="D49" s="3">
        <f t="shared" ref="D49:D56" si="51">(D18*1.5)*1.1</f>
        <v>26.400000000000002</v>
      </c>
      <c r="E49" s="3">
        <v>3.95</v>
      </c>
      <c r="F49" s="3">
        <v>0</v>
      </c>
      <c r="G49" s="3">
        <v>0</v>
      </c>
      <c r="H49" s="3">
        <v>0</v>
      </c>
      <c r="I49" s="3">
        <v>0</v>
      </c>
    </row>
    <row r="50" spans="1:9" x14ac:dyDescent="0.25">
      <c r="A50" t="s">
        <v>30</v>
      </c>
      <c r="B50">
        <v>0</v>
      </c>
      <c r="C50">
        <v>0</v>
      </c>
      <c r="D50" s="3">
        <f t="shared" si="51"/>
        <v>31.35</v>
      </c>
      <c r="E50" s="3">
        <v>3.95</v>
      </c>
      <c r="F50" s="3">
        <v>0</v>
      </c>
      <c r="G50" s="3">
        <v>0</v>
      </c>
      <c r="H50" s="3">
        <v>0</v>
      </c>
      <c r="I50" s="3">
        <v>0</v>
      </c>
    </row>
    <row r="51" spans="1:9" x14ac:dyDescent="0.25">
      <c r="A51" t="s">
        <v>31</v>
      </c>
      <c r="B51">
        <v>1</v>
      </c>
      <c r="C51">
        <v>5</v>
      </c>
      <c r="D51" s="3">
        <f t="shared" si="51"/>
        <v>49.500000000000007</v>
      </c>
      <c r="E51" s="3">
        <v>3.95</v>
      </c>
      <c r="F51" s="3">
        <f t="shared" ref="F51:F53" si="52">(C51/B51*E51)+D51</f>
        <v>69.25</v>
      </c>
      <c r="G51" s="3">
        <f t="shared" ref="G51:G53" si="53">F51*B51</f>
        <v>69.25</v>
      </c>
      <c r="H51" s="3">
        <f t="shared" ref="H51:H53" si="54">G51*12</f>
        <v>831</v>
      </c>
      <c r="I51" s="3">
        <f t="shared" ref="I51:I53" si="55">D51*B51</f>
        <v>49.500000000000007</v>
      </c>
    </row>
    <row r="52" spans="1:9" x14ac:dyDescent="0.25">
      <c r="A52" t="s">
        <v>32</v>
      </c>
      <c r="B52">
        <v>0</v>
      </c>
      <c r="C52">
        <v>0</v>
      </c>
      <c r="D52" s="3">
        <f t="shared" si="51"/>
        <v>75.900000000000006</v>
      </c>
      <c r="E52" s="3">
        <v>3.95</v>
      </c>
      <c r="F52" s="3">
        <v>0</v>
      </c>
      <c r="G52" s="3">
        <v>0</v>
      </c>
      <c r="H52" s="3">
        <v>0</v>
      </c>
      <c r="I52" s="3">
        <v>0</v>
      </c>
    </row>
    <row r="53" spans="1:9" x14ac:dyDescent="0.25">
      <c r="A53" t="s">
        <v>247</v>
      </c>
      <c r="B53">
        <v>1</v>
      </c>
      <c r="C53">
        <v>272</v>
      </c>
      <c r="D53" s="3">
        <f t="shared" si="51"/>
        <v>140.25</v>
      </c>
      <c r="E53" s="3">
        <v>3.95</v>
      </c>
      <c r="F53" s="3">
        <f t="shared" si="52"/>
        <v>1214.6500000000001</v>
      </c>
      <c r="G53" s="3">
        <f t="shared" si="53"/>
        <v>1214.6500000000001</v>
      </c>
      <c r="H53" s="3">
        <f t="shared" si="54"/>
        <v>14575.800000000001</v>
      </c>
      <c r="I53" s="3">
        <f t="shared" si="55"/>
        <v>140.25</v>
      </c>
    </row>
    <row r="54" spans="1:9" x14ac:dyDescent="0.25">
      <c r="A54" t="s">
        <v>33</v>
      </c>
      <c r="B54">
        <v>0</v>
      </c>
      <c r="C54">
        <v>0</v>
      </c>
      <c r="D54" s="3">
        <f t="shared" si="51"/>
        <v>198.00000000000003</v>
      </c>
      <c r="E54" s="3">
        <v>3.95</v>
      </c>
      <c r="F54" s="3">
        <v>0</v>
      </c>
      <c r="G54" s="3">
        <v>0</v>
      </c>
      <c r="H54" s="3">
        <v>0</v>
      </c>
      <c r="I54" s="3">
        <v>0</v>
      </c>
    </row>
    <row r="55" spans="1:9" x14ac:dyDescent="0.25">
      <c r="A55" t="s">
        <v>34</v>
      </c>
      <c r="B55">
        <v>1</v>
      </c>
      <c r="C55">
        <v>2000</v>
      </c>
      <c r="D55" s="3">
        <f t="shared" si="51"/>
        <v>429.00000000000006</v>
      </c>
      <c r="E55" s="3">
        <v>3.95</v>
      </c>
      <c r="F55" s="3">
        <f t="shared" ref="F55:F56" si="56">(C55/B55*E55)+D55</f>
        <v>8329</v>
      </c>
      <c r="G55" s="3">
        <f t="shared" ref="G55:G56" si="57">F55*B55</f>
        <v>8329</v>
      </c>
      <c r="H55" s="3">
        <f t="shared" ref="H55:H56" si="58">G55*12</f>
        <v>99948</v>
      </c>
      <c r="I55" s="3">
        <f t="shared" ref="I55:I56" si="59">D55*B55</f>
        <v>429.00000000000006</v>
      </c>
    </row>
    <row r="56" spans="1:9" x14ac:dyDescent="0.25">
      <c r="A56" t="s">
        <v>35</v>
      </c>
      <c r="B56">
        <v>3</v>
      </c>
      <c r="C56" s="4">
        <v>5395</v>
      </c>
      <c r="D56" s="3">
        <f t="shared" si="51"/>
        <v>759.00000000000011</v>
      </c>
      <c r="E56" s="3">
        <v>3.95</v>
      </c>
      <c r="F56" s="3">
        <f t="shared" si="56"/>
        <v>7862.416666666667</v>
      </c>
      <c r="G56" s="3">
        <f t="shared" si="57"/>
        <v>23587.25</v>
      </c>
      <c r="H56" s="3">
        <f t="shared" si="58"/>
        <v>283047</v>
      </c>
      <c r="I56" s="3">
        <f t="shared" si="59"/>
        <v>2277.0000000000005</v>
      </c>
    </row>
    <row r="57" spans="1:9" s="5" customFormat="1" x14ac:dyDescent="0.25">
      <c r="A57" s="10" t="s">
        <v>69</v>
      </c>
      <c r="B57" s="5">
        <f>SUM(B49:B56)</f>
        <v>6</v>
      </c>
      <c r="D57" s="9"/>
      <c r="E57" s="9"/>
      <c r="G57" s="9">
        <f>SUM(G49:G56)</f>
        <v>33200.15</v>
      </c>
      <c r="H57" s="9">
        <f>SUM(H49:H56)</f>
        <v>398401.8</v>
      </c>
      <c r="I57" s="9">
        <f>SUM(I49:I56)</f>
        <v>2895.7500000000005</v>
      </c>
    </row>
    <row r="59" spans="1:9" s="35" customFormat="1" x14ac:dyDescent="0.25">
      <c r="A59" s="34" t="s">
        <v>92</v>
      </c>
      <c r="B59" s="35">
        <f>SUM(B57,B47,B37)</f>
        <v>4287</v>
      </c>
      <c r="D59" s="36"/>
      <c r="E59" s="36"/>
      <c r="G59" s="36">
        <f>SUM(G57,G47,G37)</f>
        <v>256210.39499999996</v>
      </c>
      <c r="H59" s="36">
        <f>SUM(H57,H47,H37)</f>
        <v>3074524.7399999998</v>
      </c>
      <c r="I59" s="36">
        <f>SUM(I57,I47,I37)</f>
        <v>110188.35</v>
      </c>
    </row>
    <row r="61" spans="1:9" s="17" customFormat="1" x14ac:dyDescent="0.25">
      <c r="A61" s="16" t="s">
        <v>86</v>
      </c>
      <c r="B61" s="17">
        <f>SUM(B59,B30)</f>
        <v>7022</v>
      </c>
      <c r="D61" s="24"/>
      <c r="E61" s="24"/>
      <c r="G61" s="24">
        <f>SUM(G59,G30)</f>
        <v>391736.99499999994</v>
      </c>
      <c r="H61" s="24">
        <f>SUM(H59,H30)</f>
        <v>4700843.9399999995</v>
      </c>
      <c r="I61" s="24">
        <f>SUM(I59,I30)</f>
        <v>156959.35</v>
      </c>
    </row>
    <row r="67" spans="6:6" x14ac:dyDescent="0.25">
      <c r="F67" s="38"/>
    </row>
  </sheetData>
  <pageMargins left="0.7" right="0.7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tabSelected="1" topLeftCell="A40" zoomScale="85" zoomScaleNormal="85" workbookViewId="0">
      <selection activeCell="D44" sqref="D44:E46"/>
    </sheetView>
  </sheetViews>
  <sheetFormatPr defaultRowHeight="15" x14ac:dyDescent="0.25"/>
  <cols>
    <col min="1" max="1" width="35.28515625" customWidth="1"/>
    <col min="2" max="2" width="13.140625" customWidth="1"/>
    <col min="3" max="3" width="16.140625" customWidth="1"/>
    <col min="4" max="4" width="12.7109375" style="3" customWidth="1"/>
    <col min="5" max="5" width="16.140625" style="3" customWidth="1"/>
    <col min="6" max="6" width="21.28515625" style="3" customWidth="1"/>
    <col min="7" max="7" width="17.42578125" style="3" customWidth="1"/>
    <col min="8" max="8" width="16" style="3" customWidth="1"/>
    <col min="9" max="9" width="12.7109375" customWidth="1"/>
  </cols>
  <sheetData>
    <row r="1" spans="1:13" x14ac:dyDescent="0.25">
      <c r="A1" t="s">
        <v>111</v>
      </c>
    </row>
    <row r="2" spans="1:13" x14ac:dyDescent="0.25">
      <c r="A2" s="2" t="s">
        <v>36</v>
      </c>
      <c r="B2" s="2" t="s">
        <v>87</v>
      </c>
      <c r="C2" s="2" t="s">
        <v>58</v>
      </c>
      <c r="D2" s="19" t="s">
        <v>60</v>
      </c>
      <c r="E2" s="19" t="s">
        <v>75</v>
      </c>
      <c r="F2" s="19" t="s">
        <v>1</v>
      </c>
      <c r="G2" s="19" t="s">
        <v>78</v>
      </c>
      <c r="H2" s="19" t="s">
        <v>80</v>
      </c>
      <c r="M2" t="s">
        <v>243</v>
      </c>
    </row>
    <row r="3" spans="1:13" x14ac:dyDescent="0.25">
      <c r="B3" s="2" t="s">
        <v>81</v>
      </c>
      <c r="C3" s="2" t="s">
        <v>93</v>
      </c>
      <c r="D3" s="19"/>
      <c r="E3" s="19" t="s">
        <v>76</v>
      </c>
      <c r="F3" s="19" t="s">
        <v>77</v>
      </c>
      <c r="G3" s="19" t="s">
        <v>79</v>
      </c>
      <c r="H3" s="19" t="s">
        <v>79</v>
      </c>
      <c r="M3">
        <v>1.25</v>
      </c>
    </row>
    <row r="4" spans="1:13" x14ac:dyDescent="0.25">
      <c r="B4" s="2"/>
      <c r="C4" s="2" t="s">
        <v>95</v>
      </c>
      <c r="D4" s="19"/>
      <c r="E4" s="19" t="s">
        <v>94</v>
      </c>
      <c r="F4" s="19"/>
      <c r="G4" s="19"/>
      <c r="H4" s="19"/>
    </row>
    <row r="7" spans="1:13" x14ac:dyDescent="0.25">
      <c r="A7" t="s">
        <v>46</v>
      </c>
      <c r="B7" s="4">
        <v>2200</v>
      </c>
      <c r="C7" s="4">
        <v>12025</v>
      </c>
      <c r="D7" s="3">
        <f>$M$3*'proposed water'!D5</f>
        <v>20</v>
      </c>
      <c r="E7" s="3">
        <f>$M$3*'proposed water'!E5</f>
        <v>4.4375</v>
      </c>
      <c r="F7" s="3">
        <f t="shared" ref="F7:F8" si="0">(C7/B7*E7)+D7</f>
        <v>44.254971590909093</v>
      </c>
      <c r="G7" s="3">
        <f t="shared" ref="G7:G8" si="1">F7*B7</f>
        <v>97360.9375</v>
      </c>
      <c r="H7" s="3">
        <f t="shared" ref="H7:H10" si="2">G7*12</f>
        <v>1168331.25</v>
      </c>
      <c r="I7" s="3">
        <f t="shared" ref="I7:I8" si="3">D7*B7</f>
        <v>44000</v>
      </c>
    </row>
    <row r="8" spans="1:13" x14ac:dyDescent="0.25">
      <c r="A8" t="s">
        <v>47</v>
      </c>
      <c r="B8">
        <v>11</v>
      </c>
      <c r="C8">
        <v>45</v>
      </c>
      <c r="D8" s="3">
        <f>$M$3*'proposed water'!D6</f>
        <v>23.75</v>
      </c>
      <c r="E8" s="3">
        <f>$M$3*'proposed water'!E6</f>
        <v>4.4375</v>
      </c>
      <c r="F8" s="3">
        <f t="shared" si="0"/>
        <v>41.903409090909093</v>
      </c>
      <c r="G8" s="3">
        <f t="shared" si="1"/>
        <v>460.9375</v>
      </c>
      <c r="H8" s="3">
        <f t="shared" si="2"/>
        <v>5531.25</v>
      </c>
      <c r="I8" s="3">
        <f t="shared" si="3"/>
        <v>261.25</v>
      </c>
    </row>
    <row r="9" spans="1:13" x14ac:dyDescent="0.25">
      <c r="A9" t="s">
        <v>48</v>
      </c>
      <c r="B9">
        <v>1</v>
      </c>
      <c r="C9">
        <v>11</v>
      </c>
      <c r="D9" s="3">
        <f>$M$3*'proposed water'!D7</f>
        <v>37.5</v>
      </c>
      <c r="E9" s="3">
        <f>$M$3*'proposed water'!E7</f>
        <v>4.4375</v>
      </c>
      <c r="F9" s="3">
        <f t="shared" ref="F9:F10" si="4">(C9/B9*E9)+D9</f>
        <v>86.3125</v>
      </c>
      <c r="G9" s="3">
        <f t="shared" ref="G9:G10" si="5">F9*B9</f>
        <v>86.3125</v>
      </c>
      <c r="H9" s="3">
        <f t="shared" si="2"/>
        <v>1035.75</v>
      </c>
      <c r="I9" s="3">
        <f t="shared" ref="I9:I10" si="6">D9*B9</f>
        <v>37.5</v>
      </c>
    </row>
    <row r="10" spans="1:13" x14ac:dyDescent="0.25">
      <c r="A10" t="s">
        <v>49</v>
      </c>
      <c r="B10">
        <v>2</v>
      </c>
      <c r="C10">
        <v>13</v>
      </c>
      <c r="D10" s="3">
        <f>$M$3*'proposed water'!D8</f>
        <v>57.5</v>
      </c>
      <c r="E10" s="3">
        <f>$M$3*'proposed water'!E8</f>
        <v>4.4375</v>
      </c>
      <c r="F10" s="3">
        <f t="shared" si="4"/>
        <v>86.34375</v>
      </c>
      <c r="G10" s="3">
        <f t="shared" si="5"/>
        <v>172.6875</v>
      </c>
      <c r="H10" s="3">
        <f t="shared" si="2"/>
        <v>2072.25</v>
      </c>
      <c r="I10" s="3">
        <f t="shared" si="6"/>
        <v>115</v>
      </c>
    </row>
    <row r="11" spans="1:13" s="6" customFormat="1" x14ac:dyDescent="0.25">
      <c r="A11" s="11" t="s">
        <v>69</v>
      </c>
      <c r="B11" s="21">
        <f>SUM(B7:B10)</f>
        <v>2214</v>
      </c>
      <c r="D11" s="7"/>
      <c r="E11" s="7"/>
      <c r="F11" s="7"/>
      <c r="G11" s="7">
        <f>SUM(G7:G10)</f>
        <v>98080.875</v>
      </c>
      <c r="H11" s="7">
        <f>SUM(H7:H10)</f>
        <v>1176970.5</v>
      </c>
      <c r="I11" s="7">
        <f>SUM(I7:I10)</f>
        <v>44413.75</v>
      </c>
    </row>
    <row r="13" spans="1:13" x14ac:dyDescent="0.25">
      <c r="A13" t="s">
        <v>5</v>
      </c>
      <c r="B13">
        <v>290</v>
      </c>
      <c r="C13">
        <v>1758</v>
      </c>
      <c r="D13" s="3">
        <f>$M$3*'proposed water'!D11</f>
        <v>20</v>
      </c>
      <c r="E13" s="3">
        <f>$M$3*'proposed water'!E11</f>
        <v>4.4375</v>
      </c>
      <c r="F13" s="3">
        <f t="shared" ref="F13:F17" si="7">(C13/B13*E13)+D13</f>
        <v>46.900431034482757</v>
      </c>
      <c r="G13" s="3">
        <f t="shared" ref="G13:G17" si="8">F13*B13</f>
        <v>13601.125</v>
      </c>
      <c r="H13" s="3">
        <f t="shared" ref="H13:H17" si="9">G13*12</f>
        <v>163213.5</v>
      </c>
      <c r="I13" s="3">
        <f t="shared" ref="I13:I17" si="10">D13*B13</f>
        <v>5800</v>
      </c>
    </row>
    <row r="14" spans="1:13" x14ac:dyDescent="0.25">
      <c r="A14" t="s">
        <v>50</v>
      </c>
      <c r="B14">
        <v>28</v>
      </c>
      <c r="C14">
        <v>257</v>
      </c>
      <c r="D14" s="3">
        <f>$M$3*'proposed water'!D12</f>
        <v>23.75</v>
      </c>
      <c r="E14" s="3">
        <f>$M$3*'proposed water'!E12</f>
        <v>4.4375</v>
      </c>
      <c r="F14" s="3">
        <f t="shared" si="7"/>
        <v>64.479910714285722</v>
      </c>
      <c r="G14" s="3">
        <f t="shared" si="8"/>
        <v>1805.4375000000002</v>
      </c>
      <c r="H14" s="3">
        <f t="shared" si="9"/>
        <v>21665.250000000004</v>
      </c>
      <c r="I14" s="3">
        <f t="shared" si="10"/>
        <v>665</v>
      </c>
    </row>
    <row r="15" spans="1:13" x14ac:dyDescent="0.25">
      <c r="A15" t="s">
        <v>7</v>
      </c>
      <c r="B15">
        <v>2</v>
      </c>
      <c r="C15">
        <v>21</v>
      </c>
      <c r="D15" s="3">
        <f>$M$3*'proposed water'!D13</f>
        <v>37.5</v>
      </c>
      <c r="E15" s="3">
        <f>$M$3*'proposed water'!E13</f>
        <v>4.4375</v>
      </c>
      <c r="F15" s="3">
        <f t="shared" si="7"/>
        <v>84.09375</v>
      </c>
      <c r="G15" s="3">
        <f t="shared" si="8"/>
        <v>168.1875</v>
      </c>
      <c r="H15" s="3">
        <f t="shared" si="9"/>
        <v>2018.25</v>
      </c>
      <c r="I15" s="3">
        <f t="shared" si="10"/>
        <v>75</v>
      </c>
    </row>
    <row r="16" spans="1:13" x14ac:dyDescent="0.25">
      <c r="A16" t="s">
        <v>8</v>
      </c>
      <c r="B16">
        <v>41</v>
      </c>
      <c r="C16">
        <v>2209</v>
      </c>
      <c r="D16" s="3">
        <f>$M$3*'proposed water'!D14</f>
        <v>57.5</v>
      </c>
      <c r="E16" s="3">
        <f>$M$3*'proposed water'!E14</f>
        <v>4.4375</v>
      </c>
      <c r="F16" s="3">
        <f t="shared" si="7"/>
        <v>296.58384146341461</v>
      </c>
      <c r="G16" s="3">
        <f t="shared" si="8"/>
        <v>12159.9375</v>
      </c>
      <c r="H16" s="3">
        <f t="shared" si="9"/>
        <v>145919.25</v>
      </c>
      <c r="I16" s="3">
        <f t="shared" si="10"/>
        <v>2357.5</v>
      </c>
    </row>
    <row r="17" spans="1:9" x14ac:dyDescent="0.25">
      <c r="A17" t="s">
        <v>9</v>
      </c>
      <c r="B17">
        <v>1</v>
      </c>
      <c r="C17">
        <v>529</v>
      </c>
      <c r="D17" s="3">
        <f>$M$3*'proposed water'!D15</f>
        <v>106.25</v>
      </c>
      <c r="E17" s="3">
        <f>$M$3*'proposed water'!E15</f>
        <v>4.4375</v>
      </c>
      <c r="F17" s="3">
        <f t="shared" si="7"/>
        <v>2453.6875</v>
      </c>
      <c r="G17" s="3">
        <f t="shared" si="8"/>
        <v>2453.6875</v>
      </c>
      <c r="H17" s="3">
        <f t="shared" si="9"/>
        <v>29444.25</v>
      </c>
      <c r="I17" s="3">
        <f t="shared" si="10"/>
        <v>106.25</v>
      </c>
    </row>
    <row r="18" spans="1:9" s="5" customFormat="1" x14ac:dyDescent="0.25">
      <c r="A18" s="10" t="s">
        <v>69</v>
      </c>
      <c r="B18" s="5">
        <f>SUM(B13:B17)</f>
        <v>362</v>
      </c>
      <c r="D18" s="9"/>
      <c r="E18" s="9"/>
      <c r="F18" s="9"/>
      <c r="G18" s="9">
        <f>SUM(G13:G17)</f>
        <v>30188.375</v>
      </c>
      <c r="H18" s="9">
        <f>SUM(H13:H17)</f>
        <v>362260.5</v>
      </c>
      <c r="I18" s="9">
        <f>SUM(I13:I17)</f>
        <v>9003.75</v>
      </c>
    </row>
    <row r="20" spans="1:9" x14ac:dyDescent="0.25">
      <c r="A20" t="s">
        <v>10</v>
      </c>
      <c r="B20">
        <v>2</v>
      </c>
      <c r="C20">
        <v>2</v>
      </c>
      <c r="D20" s="3">
        <f>$M$3*'proposed water'!D18</f>
        <v>20</v>
      </c>
      <c r="E20" s="3">
        <f>$M$3*'proposed water'!E18</f>
        <v>3.9375</v>
      </c>
      <c r="F20" s="3">
        <f t="shared" ref="F20:F27" si="11">(C20/B20*E20)+D20</f>
        <v>23.9375</v>
      </c>
      <c r="G20" s="3">
        <f t="shared" ref="G20:G27" si="12">F20*B20</f>
        <v>47.875</v>
      </c>
      <c r="H20" s="3">
        <f t="shared" ref="H20:H27" si="13">G20*12</f>
        <v>574.5</v>
      </c>
      <c r="I20" s="3">
        <f t="shared" ref="I20:I27" si="14">D20*B20</f>
        <v>40</v>
      </c>
    </row>
    <row r="21" spans="1:9" x14ac:dyDescent="0.25">
      <c r="A21" t="s">
        <v>51</v>
      </c>
      <c r="B21">
        <v>4</v>
      </c>
      <c r="C21">
        <v>11</v>
      </c>
      <c r="D21" s="3">
        <f>$M$3*'proposed water'!D19</f>
        <v>23.75</v>
      </c>
      <c r="E21" s="3">
        <f>$M$3*'proposed water'!E19</f>
        <v>3.9375</v>
      </c>
      <c r="F21" s="3">
        <f t="shared" si="11"/>
        <v>34.578125</v>
      </c>
      <c r="G21" s="3">
        <f t="shared" si="12"/>
        <v>138.3125</v>
      </c>
      <c r="H21" s="3">
        <f t="shared" si="13"/>
        <v>1659.75</v>
      </c>
      <c r="I21" s="3">
        <f t="shared" si="14"/>
        <v>95</v>
      </c>
    </row>
    <row r="22" spans="1:9" x14ac:dyDescent="0.25">
      <c r="A22" t="s">
        <v>11</v>
      </c>
      <c r="B22">
        <v>0</v>
      </c>
      <c r="C22">
        <v>0</v>
      </c>
      <c r="D22" s="3">
        <f>$M$3*'proposed water'!D20</f>
        <v>37.5</v>
      </c>
      <c r="E22" s="3">
        <f>$M$3*'proposed water'!E20</f>
        <v>3.9375</v>
      </c>
      <c r="F22" s="3">
        <v>0</v>
      </c>
      <c r="G22" s="3">
        <f t="shared" si="12"/>
        <v>0</v>
      </c>
      <c r="H22" s="3">
        <f t="shared" si="13"/>
        <v>0</v>
      </c>
      <c r="I22" s="3">
        <f t="shared" si="14"/>
        <v>0</v>
      </c>
    </row>
    <row r="23" spans="1:9" x14ac:dyDescent="0.25">
      <c r="A23" t="s">
        <v>12</v>
      </c>
      <c r="B23">
        <v>10</v>
      </c>
      <c r="C23">
        <v>2771</v>
      </c>
      <c r="D23" s="3">
        <f>$M$3*'proposed water'!D21</f>
        <v>57.5</v>
      </c>
      <c r="E23" s="3">
        <f>$M$3*'proposed water'!E21</f>
        <v>3.9375</v>
      </c>
      <c r="F23" s="3">
        <f t="shared" si="11"/>
        <v>1148.5812500000002</v>
      </c>
      <c r="G23" s="3">
        <f t="shared" si="12"/>
        <v>11485.812500000002</v>
      </c>
      <c r="H23" s="3">
        <f t="shared" si="13"/>
        <v>137829.75000000003</v>
      </c>
      <c r="I23" s="3">
        <f t="shared" si="14"/>
        <v>575</v>
      </c>
    </row>
    <row r="24" spans="1:9" x14ac:dyDescent="0.25">
      <c r="A24" t="s">
        <v>13</v>
      </c>
      <c r="B24">
        <v>0</v>
      </c>
      <c r="C24">
        <v>0</v>
      </c>
      <c r="D24" s="3">
        <f>$M$3*'proposed water'!D22</f>
        <v>106.25</v>
      </c>
      <c r="E24" s="3">
        <f>$M$3*'proposed water'!E22</f>
        <v>3.9375</v>
      </c>
      <c r="F24" s="3">
        <v>0</v>
      </c>
      <c r="G24" s="3">
        <f t="shared" si="12"/>
        <v>0</v>
      </c>
      <c r="H24" s="3">
        <f t="shared" si="13"/>
        <v>0</v>
      </c>
      <c r="I24" s="3">
        <f t="shared" si="14"/>
        <v>0</v>
      </c>
    </row>
    <row r="25" spans="1:9" x14ac:dyDescent="0.25">
      <c r="A25" t="s">
        <v>14</v>
      </c>
      <c r="B25">
        <v>0</v>
      </c>
      <c r="C25">
        <v>0</v>
      </c>
      <c r="D25" s="3">
        <f>$M$3*'proposed water'!D23</f>
        <v>150</v>
      </c>
      <c r="E25" s="3">
        <f>$M$3*'proposed water'!E23</f>
        <v>3.9375</v>
      </c>
      <c r="F25" s="3">
        <v>0</v>
      </c>
      <c r="G25" s="3">
        <f t="shared" si="12"/>
        <v>0</v>
      </c>
      <c r="H25" s="3">
        <f t="shared" si="13"/>
        <v>0</v>
      </c>
      <c r="I25" s="3">
        <f t="shared" si="14"/>
        <v>0</v>
      </c>
    </row>
    <row r="26" spans="1:9" x14ac:dyDescent="0.25">
      <c r="A26" t="s">
        <v>15</v>
      </c>
      <c r="B26">
        <v>2</v>
      </c>
      <c r="C26">
        <v>10</v>
      </c>
      <c r="D26" s="3">
        <f>$M$3*'proposed water'!D24</f>
        <v>325</v>
      </c>
      <c r="E26" s="3">
        <f>$M$3*'proposed water'!E24</f>
        <v>3.9375</v>
      </c>
      <c r="F26" s="3">
        <f t="shared" si="11"/>
        <v>344.6875</v>
      </c>
      <c r="G26" s="3">
        <f t="shared" si="12"/>
        <v>689.375</v>
      </c>
      <c r="H26" s="3">
        <f t="shared" si="13"/>
        <v>8272.5</v>
      </c>
      <c r="I26" s="3">
        <f t="shared" si="14"/>
        <v>650</v>
      </c>
    </row>
    <row r="27" spans="1:9" x14ac:dyDescent="0.25">
      <c r="A27" t="s">
        <v>43</v>
      </c>
      <c r="B27">
        <v>1</v>
      </c>
      <c r="C27">
        <v>5357</v>
      </c>
      <c r="D27" s="3">
        <f>$M$3*'proposed water'!D25</f>
        <v>575</v>
      </c>
      <c r="E27" s="3">
        <f>$M$3*'proposed water'!E25</f>
        <v>3.9375</v>
      </c>
      <c r="F27" s="3">
        <f t="shared" si="11"/>
        <v>21668.1875</v>
      </c>
      <c r="G27" s="3">
        <f t="shared" si="12"/>
        <v>21668.1875</v>
      </c>
      <c r="H27" s="3">
        <f t="shared" si="13"/>
        <v>260018.25</v>
      </c>
      <c r="I27" s="3">
        <f t="shared" si="14"/>
        <v>575</v>
      </c>
    </row>
    <row r="28" spans="1:9" s="5" customFormat="1" x14ac:dyDescent="0.25">
      <c r="A28" s="10" t="s">
        <v>69</v>
      </c>
      <c r="B28" s="5">
        <f>SUM(B20:B27)</f>
        <v>19</v>
      </c>
      <c r="D28" s="9"/>
      <c r="E28" s="9"/>
      <c r="F28" s="9"/>
      <c r="G28" s="9">
        <f>SUM(G20:G27)</f>
        <v>34029.5625</v>
      </c>
      <c r="H28" s="9">
        <f>SUM(H20:H27)</f>
        <v>408354.75</v>
      </c>
      <c r="I28" s="9">
        <f>SUM(I20:I27)</f>
        <v>1935</v>
      </c>
    </row>
    <row r="29" spans="1:9" s="5" customFormat="1" x14ac:dyDescent="0.25">
      <c r="A29" s="10"/>
      <c r="D29" s="9"/>
      <c r="E29" s="9"/>
      <c r="F29" s="9"/>
      <c r="G29" s="9"/>
      <c r="H29" s="9"/>
    </row>
    <row r="30" spans="1:9" s="35" customFormat="1" x14ac:dyDescent="0.25">
      <c r="A30" s="34" t="s">
        <v>70</v>
      </c>
      <c r="B30" s="37">
        <f>SUM(B28,B18,B11)</f>
        <v>2595</v>
      </c>
      <c r="D30" s="36"/>
      <c r="E30" s="36"/>
      <c r="F30" s="36"/>
      <c r="G30" s="36">
        <f>SUM(G28,G18,G11,,)</f>
        <v>162298.8125</v>
      </c>
      <c r="H30" s="36">
        <f>SUM(H28,H18,H11)</f>
        <v>1947585.75</v>
      </c>
      <c r="I30" s="36">
        <f>SUM(I28,I18,I11)</f>
        <v>55352.5</v>
      </c>
    </row>
    <row r="32" spans="1:9" x14ac:dyDescent="0.25">
      <c r="A32" t="s">
        <v>53</v>
      </c>
      <c r="B32">
        <v>24</v>
      </c>
      <c r="C32">
        <v>266</v>
      </c>
      <c r="D32" s="3">
        <f>$M$3*'proposed water'!D33</f>
        <v>30</v>
      </c>
      <c r="E32" s="3">
        <f>M3*'proposed water'!E33</f>
        <v>6.6562499999999991</v>
      </c>
      <c r="F32" s="3">
        <f t="shared" ref="F32" si="15">(C32/B32*E32)+D32</f>
        <v>103.7734375</v>
      </c>
      <c r="G32" s="3">
        <f t="shared" ref="G32" si="16">F32*B32</f>
        <v>2490.5625</v>
      </c>
      <c r="H32" s="3">
        <f t="shared" ref="H32" si="17">G32*12</f>
        <v>29886.75</v>
      </c>
      <c r="I32" s="3">
        <f t="shared" ref="I32" si="18">D32*B32</f>
        <v>720</v>
      </c>
    </row>
    <row r="33" spans="1:9" x14ac:dyDescent="0.25">
      <c r="A33" t="s">
        <v>54</v>
      </c>
      <c r="B33">
        <v>0</v>
      </c>
      <c r="C33">
        <v>0</v>
      </c>
      <c r="D33" s="3">
        <f>$M$3*'proposed water'!D34</f>
        <v>35.625</v>
      </c>
      <c r="E33" s="3">
        <f>M3*'proposed water'!E34</f>
        <v>6.6562499999999991</v>
      </c>
      <c r="F33" s="3">
        <v>0</v>
      </c>
      <c r="G33" s="3">
        <v>0</v>
      </c>
      <c r="H33" s="3">
        <v>0</v>
      </c>
    </row>
    <row r="34" spans="1:9" x14ac:dyDescent="0.25">
      <c r="A34" t="s">
        <v>55</v>
      </c>
      <c r="B34">
        <v>0</v>
      </c>
      <c r="C34">
        <v>0</v>
      </c>
      <c r="D34" s="3">
        <f>$M$3*'proposed water'!D35</f>
        <v>56.25</v>
      </c>
      <c r="E34" s="3">
        <f>M3*'proposed water'!E35</f>
        <v>6.6562499999999991</v>
      </c>
      <c r="F34" s="3">
        <v>0</v>
      </c>
      <c r="G34" s="3">
        <v>0</v>
      </c>
      <c r="H34" s="3">
        <v>0</v>
      </c>
    </row>
    <row r="35" spans="1:9" x14ac:dyDescent="0.25">
      <c r="A35" t="s">
        <v>56</v>
      </c>
      <c r="B35">
        <v>0</v>
      </c>
      <c r="C35">
        <v>0</v>
      </c>
      <c r="D35" s="3">
        <f>$M$3*'proposed water'!D36</f>
        <v>86.25</v>
      </c>
      <c r="E35" s="3">
        <f>M3*'proposed water'!E36</f>
        <v>6.6562499999999991</v>
      </c>
      <c r="F35" s="3">
        <v>0</v>
      </c>
      <c r="G35" s="3">
        <v>0</v>
      </c>
      <c r="H35" s="3">
        <v>0</v>
      </c>
    </row>
    <row r="36" spans="1:9" x14ac:dyDescent="0.25">
      <c r="A36" s="10" t="s">
        <v>69</v>
      </c>
      <c r="B36" s="6">
        <f>SUM(B32:B35)</f>
        <v>24</v>
      </c>
      <c r="C36" s="6"/>
      <c r="D36" s="7"/>
      <c r="E36" s="7"/>
      <c r="F36" s="7"/>
      <c r="G36" s="7">
        <f>SUM(G32:G35)</f>
        <v>2490.5625</v>
      </c>
      <c r="H36" s="7">
        <f>SUM(H32:H35)</f>
        <v>29886.75</v>
      </c>
    </row>
    <row r="38" spans="1:9" x14ac:dyDescent="0.25">
      <c r="A38" t="s">
        <v>44</v>
      </c>
      <c r="B38">
        <v>12</v>
      </c>
      <c r="C38">
        <v>111</v>
      </c>
      <c r="D38" s="3">
        <f>$M$3*'proposed water'!D39</f>
        <v>30</v>
      </c>
      <c r="E38" s="3">
        <f>$M$3*'proposed water'!E39</f>
        <v>6.6562499999999991</v>
      </c>
      <c r="F38" s="3">
        <f t="shared" ref="F38:F39" si="19">(C38/B38*E38)+D38</f>
        <v>91.5703125</v>
      </c>
      <c r="G38" s="3">
        <f t="shared" ref="G38:G39" si="20">F38*B38</f>
        <v>1098.84375</v>
      </c>
      <c r="H38" s="3">
        <f t="shared" ref="H38:H39" si="21">G38*12</f>
        <v>13186.125</v>
      </c>
      <c r="I38" s="3">
        <f t="shared" ref="I38:I39" si="22">D38*B38</f>
        <v>360</v>
      </c>
    </row>
    <row r="39" spans="1:9" x14ac:dyDescent="0.25">
      <c r="A39" t="s">
        <v>45</v>
      </c>
      <c r="B39">
        <v>1</v>
      </c>
      <c r="C39">
        <v>11</v>
      </c>
      <c r="D39" s="3">
        <f>$M$3*'proposed water'!D40</f>
        <v>35.625</v>
      </c>
      <c r="E39" s="3">
        <f>$M$3*'proposed water'!E40</f>
        <v>6.6562499999999991</v>
      </c>
      <c r="F39" s="3">
        <f t="shared" si="19"/>
        <v>108.84374999999999</v>
      </c>
      <c r="G39" s="3">
        <f t="shared" si="20"/>
        <v>108.84374999999999</v>
      </c>
      <c r="H39" s="3">
        <f t="shared" si="21"/>
        <v>1306.1249999999998</v>
      </c>
      <c r="I39" s="3">
        <f t="shared" si="22"/>
        <v>35.625</v>
      </c>
    </row>
    <row r="40" spans="1:9" x14ac:dyDescent="0.25">
      <c r="A40" t="s">
        <v>24</v>
      </c>
      <c r="B40">
        <v>0</v>
      </c>
      <c r="C40">
        <v>0</v>
      </c>
      <c r="D40" s="3">
        <f>$M$3*'proposed water'!D41</f>
        <v>56.25</v>
      </c>
      <c r="E40" s="3">
        <f>$M$3*'proposed water'!E41</f>
        <v>6.6562499999999991</v>
      </c>
      <c r="F40" s="3">
        <v>0</v>
      </c>
      <c r="G40" s="3">
        <v>0</v>
      </c>
      <c r="H40" s="3">
        <v>0</v>
      </c>
    </row>
    <row r="41" spans="1:9" x14ac:dyDescent="0.25">
      <c r="A41" t="s">
        <v>25</v>
      </c>
      <c r="B41">
        <v>3</v>
      </c>
      <c r="C41">
        <v>216</v>
      </c>
      <c r="D41" s="3">
        <f>$M$3*'proposed water'!D42</f>
        <v>86.25</v>
      </c>
      <c r="E41" s="3">
        <f>$M$3*'proposed water'!E42</f>
        <v>6.6562499999999991</v>
      </c>
      <c r="F41" s="3">
        <f>IF(ISERROR((C41/B41*E41)+D41),0,(C41/B41*E41)+D41)</f>
        <v>565.5</v>
      </c>
      <c r="G41" s="3">
        <f t="shared" ref="G41" si="23">F41*B41</f>
        <v>1696.5</v>
      </c>
      <c r="H41" s="3">
        <f t="shared" ref="H41" si="24">G41*12</f>
        <v>20358</v>
      </c>
      <c r="I41" s="3">
        <f t="shared" ref="I41:I45" si="25">D41*B41</f>
        <v>258.75</v>
      </c>
    </row>
    <row r="42" spans="1:9" x14ac:dyDescent="0.25">
      <c r="A42" t="s">
        <v>26</v>
      </c>
      <c r="B42">
        <v>0</v>
      </c>
      <c r="C42">
        <v>0</v>
      </c>
      <c r="D42" s="3">
        <f>$M$3*'proposed water'!D43</f>
        <v>159.375</v>
      </c>
      <c r="E42" s="3">
        <f>$M$3*'proposed water'!E43</f>
        <v>6.6562499999999991</v>
      </c>
      <c r="F42" s="3">
        <v>0</v>
      </c>
      <c r="G42" s="3">
        <v>0</v>
      </c>
      <c r="H42" s="3">
        <v>0</v>
      </c>
      <c r="I42" s="3">
        <f t="shared" si="25"/>
        <v>0</v>
      </c>
    </row>
    <row r="43" spans="1:9" x14ac:dyDescent="0.25">
      <c r="A43" t="s">
        <v>27</v>
      </c>
      <c r="B43">
        <v>0</v>
      </c>
      <c r="C43">
        <v>0</v>
      </c>
      <c r="D43" s="3">
        <f>$M$3*'proposed water'!D44</f>
        <v>283.6875</v>
      </c>
      <c r="E43" s="3">
        <f>$M$3*'proposed water'!E44</f>
        <v>6.6624999999999996</v>
      </c>
      <c r="F43" s="3">
        <v>0</v>
      </c>
      <c r="G43" s="3">
        <v>0</v>
      </c>
      <c r="H43" s="3">
        <v>0</v>
      </c>
      <c r="I43" s="3">
        <f t="shared" si="25"/>
        <v>0</v>
      </c>
    </row>
    <row r="44" spans="1:9" x14ac:dyDescent="0.25">
      <c r="A44" t="s">
        <v>28</v>
      </c>
      <c r="D44" s="85">
        <f>$M$3*'proposed water'!D45</f>
        <v>567.375</v>
      </c>
      <c r="E44" s="85">
        <f>$M$3*'proposed water'!E45</f>
        <v>6.6624999999999996</v>
      </c>
      <c r="F44" s="3">
        <f t="shared" ref="F44:F45" si="26">IF(ISERROR((C44/B44*E44)+D44),0,(C44/B44*E44)+D44)</f>
        <v>0</v>
      </c>
      <c r="G44" s="3">
        <f t="shared" ref="G44:G45" si="27">F44*B44</f>
        <v>0</v>
      </c>
      <c r="H44" s="3">
        <f t="shared" ref="H44:H45" si="28">G44*12</f>
        <v>0</v>
      </c>
      <c r="I44" s="3">
        <f t="shared" si="25"/>
        <v>0</v>
      </c>
    </row>
    <row r="45" spans="1:9" x14ac:dyDescent="0.25">
      <c r="A45" t="s">
        <v>250</v>
      </c>
      <c r="D45" s="85">
        <f>$M$3*'proposed water'!D46</f>
        <v>992.90625</v>
      </c>
      <c r="E45" s="85">
        <f>$M$3*'proposed water'!E46</f>
        <v>6.6624999999999996</v>
      </c>
      <c r="F45" s="3">
        <f t="shared" si="26"/>
        <v>0</v>
      </c>
      <c r="G45" s="3">
        <f t="shared" si="27"/>
        <v>0</v>
      </c>
      <c r="H45" s="3">
        <f t="shared" si="28"/>
        <v>0</v>
      </c>
      <c r="I45" s="3">
        <f t="shared" si="25"/>
        <v>0</v>
      </c>
    </row>
    <row r="46" spans="1:9" s="5" customFormat="1" x14ac:dyDescent="0.25">
      <c r="A46" s="10" t="s">
        <v>69</v>
      </c>
      <c r="B46" s="5">
        <f>SUM(B38:B43)</f>
        <v>16</v>
      </c>
      <c r="D46" s="86"/>
      <c r="E46" s="86"/>
      <c r="F46" s="9"/>
      <c r="G46" s="9">
        <f>SUM(G38:G43)</f>
        <v>2904.1875</v>
      </c>
      <c r="H46" s="9">
        <f>SUM(H38:H43)</f>
        <v>34850.25</v>
      </c>
    </row>
    <row r="48" spans="1:9" x14ac:dyDescent="0.25">
      <c r="A48" t="s">
        <v>29</v>
      </c>
      <c r="B48">
        <v>0</v>
      </c>
      <c r="C48">
        <v>0</v>
      </c>
      <c r="D48" s="3">
        <f>'proposed water'!D49*$M$3</f>
        <v>33</v>
      </c>
      <c r="E48" s="3">
        <f>$M$3*'proposed water'!E49</f>
        <v>4.9375</v>
      </c>
      <c r="F48" s="3">
        <v>0</v>
      </c>
      <c r="G48" s="3">
        <v>0</v>
      </c>
      <c r="H48" s="3">
        <v>0</v>
      </c>
    </row>
    <row r="49" spans="1:9" x14ac:dyDescent="0.25">
      <c r="A49" t="s">
        <v>30</v>
      </c>
      <c r="B49">
        <v>0</v>
      </c>
      <c r="C49">
        <v>0</v>
      </c>
      <c r="D49" s="3">
        <f>'proposed water'!D50*$M$3</f>
        <v>39.1875</v>
      </c>
      <c r="E49" s="3">
        <f>$M$3*'proposed water'!E50</f>
        <v>4.9375</v>
      </c>
      <c r="F49" s="3">
        <v>0</v>
      </c>
      <c r="G49" s="3">
        <v>0</v>
      </c>
      <c r="H49" s="3">
        <v>0</v>
      </c>
    </row>
    <row r="50" spans="1:9" x14ac:dyDescent="0.25">
      <c r="A50" t="s">
        <v>31</v>
      </c>
      <c r="B50">
        <v>0</v>
      </c>
      <c r="C50">
        <v>0</v>
      </c>
      <c r="D50" s="3">
        <f>'proposed water'!D51*$M$3</f>
        <v>61.875000000000007</v>
      </c>
      <c r="E50" s="3">
        <f>$M$3*'proposed water'!E51</f>
        <v>4.9375</v>
      </c>
      <c r="F50" s="3">
        <v>0</v>
      </c>
      <c r="G50" s="3">
        <v>0</v>
      </c>
      <c r="H50" s="3">
        <v>0</v>
      </c>
    </row>
    <row r="51" spans="1:9" x14ac:dyDescent="0.25">
      <c r="A51" t="s">
        <v>32</v>
      </c>
      <c r="B51">
        <v>0</v>
      </c>
      <c r="C51">
        <v>0</v>
      </c>
      <c r="D51" s="3">
        <f>'proposed water'!D52*$M$3</f>
        <v>94.875</v>
      </c>
      <c r="E51" s="3">
        <f>$M$3*'proposed water'!E52</f>
        <v>4.9375</v>
      </c>
      <c r="F51" s="3">
        <v>0</v>
      </c>
      <c r="G51" s="3">
        <v>0</v>
      </c>
      <c r="H51" s="3">
        <v>0</v>
      </c>
    </row>
    <row r="52" spans="1:9" x14ac:dyDescent="0.25">
      <c r="A52" t="s">
        <v>247</v>
      </c>
      <c r="B52">
        <v>1</v>
      </c>
      <c r="C52">
        <v>272</v>
      </c>
      <c r="D52" s="3">
        <f>'proposed water'!D53*$M$3</f>
        <v>175.3125</v>
      </c>
      <c r="E52" s="3">
        <f>$M$3*'proposed water'!E53</f>
        <v>4.9375</v>
      </c>
      <c r="F52" s="3">
        <f t="shared" ref="F52" si="29">(C52/B52*E52)+D52</f>
        <v>1518.3125</v>
      </c>
      <c r="G52" s="3">
        <f t="shared" ref="G52" si="30">F52*B52</f>
        <v>1518.3125</v>
      </c>
      <c r="H52" s="3">
        <f t="shared" ref="H52" si="31">G52*12</f>
        <v>18219.75</v>
      </c>
      <c r="I52" s="3">
        <f t="shared" ref="I52" si="32">D52*B52</f>
        <v>175.3125</v>
      </c>
    </row>
    <row r="53" spans="1:9" x14ac:dyDescent="0.25">
      <c r="A53" t="s">
        <v>33</v>
      </c>
      <c r="B53">
        <v>0</v>
      </c>
      <c r="C53">
        <v>0</v>
      </c>
      <c r="D53" s="3">
        <f>'proposed water'!D54*$M$3</f>
        <v>247.50000000000003</v>
      </c>
      <c r="E53" s="3">
        <f>$M$3*'proposed water'!E54</f>
        <v>4.9375</v>
      </c>
      <c r="F53" s="3">
        <v>0</v>
      </c>
      <c r="G53" s="3">
        <v>0</v>
      </c>
      <c r="H53" s="3">
        <v>0</v>
      </c>
    </row>
    <row r="54" spans="1:9" x14ac:dyDescent="0.25">
      <c r="A54" t="s">
        <v>34</v>
      </c>
      <c r="B54">
        <v>0</v>
      </c>
      <c r="C54">
        <v>0</v>
      </c>
      <c r="D54" s="3">
        <f>'proposed water'!D55*$M$3</f>
        <v>536.25000000000011</v>
      </c>
      <c r="E54" s="3">
        <f>$M$3*'proposed water'!E55</f>
        <v>4.9375</v>
      </c>
      <c r="F54" s="3">
        <v>0</v>
      </c>
      <c r="G54" s="3">
        <v>0</v>
      </c>
      <c r="H54" s="3">
        <v>0</v>
      </c>
    </row>
    <row r="55" spans="1:9" x14ac:dyDescent="0.25">
      <c r="A55" t="s">
        <v>35</v>
      </c>
      <c r="B55">
        <v>3</v>
      </c>
      <c r="C55">
        <v>5395</v>
      </c>
      <c r="D55" s="3">
        <f>'proposed water'!D56*$M$3</f>
        <v>948.75000000000011</v>
      </c>
      <c r="E55" s="3">
        <f>$M$3*'proposed water'!E56</f>
        <v>4.9375</v>
      </c>
      <c r="F55" s="3">
        <f t="shared" ref="F55" si="33">(C55/B55*E55)+D55</f>
        <v>9828.0208333333321</v>
      </c>
      <c r="G55" s="3">
        <f t="shared" ref="G55" si="34">F55*B55</f>
        <v>29484.062499999996</v>
      </c>
      <c r="H55" s="3">
        <f t="shared" ref="H55" si="35">G55*12</f>
        <v>353808.74999999994</v>
      </c>
      <c r="I55" s="3">
        <f t="shared" ref="I55" si="36">D55*B55</f>
        <v>2846.2500000000005</v>
      </c>
    </row>
    <row r="56" spans="1:9" s="6" customFormat="1" x14ac:dyDescent="0.25">
      <c r="A56" s="11" t="s">
        <v>69</v>
      </c>
      <c r="B56" s="6">
        <f>SUM(B48:B55)</f>
        <v>4</v>
      </c>
      <c r="D56" s="7"/>
      <c r="E56" s="7"/>
      <c r="F56" s="7"/>
      <c r="G56" s="7">
        <f>SUM(G48:G55)</f>
        <v>31002.374999999996</v>
      </c>
      <c r="H56" s="7">
        <f>SUM(H48:H55)</f>
        <v>372028.49999999994</v>
      </c>
    </row>
    <row r="58" spans="1:9" s="35" customFormat="1" x14ac:dyDescent="0.25">
      <c r="A58" s="34" t="s">
        <v>92</v>
      </c>
      <c r="B58" s="35">
        <f>SUM(B56,B46,B36)</f>
        <v>44</v>
      </c>
      <c r="D58" s="36"/>
      <c r="E58" s="36"/>
      <c r="F58" s="36"/>
      <c r="G58" s="36">
        <f>SUM(G56,G46,G36)</f>
        <v>36397.125</v>
      </c>
      <c r="H58" s="36">
        <f>SUM(H56,H46,H36)</f>
        <v>436765.49999999994</v>
      </c>
    </row>
    <row r="60" spans="1:9" s="15" customFormat="1" x14ac:dyDescent="0.25">
      <c r="A60" s="25" t="s">
        <v>86</v>
      </c>
      <c r="B60" s="26">
        <f>SUM(B58,B30)</f>
        <v>2639</v>
      </c>
      <c r="D60" s="23"/>
      <c r="E60" s="23"/>
      <c r="F60" s="23"/>
      <c r="G60" s="23">
        <f>SUM(G58,G30)</f>
        <v>198695.9375</v>
      </c>
      <c r="H60" s="23">
        <f>SUM(H58,H30)</f>
        <v>2384351.25</v>
      </c>
    </row>
  </sheetData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zoomScale="85" zoomScaleNormal="85" workbookViewId="0">
      <pane xSplit="1" ySplit="2" topLeftCell="H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34.42578125" customWidth="1"/>
    <col min="2" max="2" width="15.28515625" customWidth="1"/>
    <col min="3" max="3" width="23" customWidth="1"/>
    <col min="4" max="4" width="23.85546875" style="3" customWidth="1"/>
    <col min="5" max="5" width="22.5703125" style="3" bestFit="1" customWidth="1"/>
    <col min="6" max="6" width="16.5703125" style="3" bestFit="1" customWidth="1"/>
    <col min="7" max="7" width="19.140625" style="3" bestFit="1" customWidth="1"/>
    <col min="8" max="8" width="25.85546875" bestFit="1" customWidth="1"/>
    <col min="9" max="9" width="16.5703125" style="3" bestFit="1" customWidth="1"/>
    <col min="10" max="10" width="19.140625" bestFit="1" customWidth="1"/>
    <col min="11" max="11" width="20.28515625" bestFit="1" customWidth="1"/>
    <col min="12" max="12" width="15.85546875" bestFit="1" customWidth="1"/>
    <col min="13" max="13" width="16.42578125" bestFit="1" customWidth="1"/>
    <col min="14" max="15" width="20.140625" bestFit="1" customWidth="1"/>
    <col min="16" max="16" width="22.28515625" bestFit="1" customWidth="1"/>
    <col min="17" max="17" width="17.5703125" customWidth="1"/>
  </cols>
  <sheetData>
    <row r="1" spans="1:15" ht="23.25" customHeight="1" x14ac:dyDescent="0.25">
      <c r="A1" s="2" t="s">
        <v>36</v>
      </c>
      <c r="B1" s="2" t="s">
        <v>87</v>
      </c>
      <c r="C1" s="2" t="s">
        <v>88</v>
      </c>
      <c r="D1" s="19" t="s">
        <v>108</v>
      </c>
      <c r="E1" s="19" t="s">
        <v>61</v>
      </c>
      <c r="F1" s="19" t="s">
        <v>90</v>
      </c>
      <c r="G1" s="19" t="s">
        <v>96</v>
      </c>
      <c r="H1" s="2" t="s">
        <v>97</v>
      </c>
      <c r="I1" s="19" t="s">
        <v>78</v>
      </c>
      <c r="J1" s="19" t="s">
        <v>96</v>
      </c>
      <c r="K1" s="19" t="s">
        <v>101</v>
      </c>
      <c r="L1" s="19" t="s">
        <v>98</v>
      </c>
      <c r="M1" s="19" t="s">
        <v>100</v>
      </c>
      <c r="N1" s="19" t="s">
        <v>105</v>
      </c>
      <c r="O1" s="19" t="s">
        <v>105</v>
      </c>
    </row>
    <row r="2" spans="1:15" x14ac:dyDescent="0.25">
      <c r="B2" s="2" t="s">
        <v>81</v>
      </c>
      <c r="C2" s="19" t="s">
        <v>89</v>
      </c>
      <c r="D2" s="19" t="s">
        <v>60</v>
      </c>
      <c r="E2" s="19" t="s">
        <v>62</v>
      </c>
      <c r="F2" s="19" t="s">
        <v>67</v>
      </c>
      <c r="G2" s="19" t="s">
        <v>63</v>
      </c>
      <c r="H2" s="2" t="s">
        <v>63</v>
      </c>
      <c r="I2" s="19" t="s">
        <v>67</v>
      </c>
      <c r="J2" s="19" t="s">
        <v>77</v>
      </c>
      <c r="K2" s="19" t="s">
        <v>77</v>
      </c>
      <c r="L2" s="19" t="s">
        <v>99</v>
      </c>
      <c r="M2" s="19" t="s">
        <v>99</v>
      </c>
      <c r="N2" s="19" t="s">
        <v>107</v>
      </c>
      <c r="O2" s="19" t="s">
        <v>106</v>
      </c>
    </row>
    <row r="3" spans="1:15" x14ac:dyDescent="0.25">
      <c r="A3" t="s">
        <v>46</v>
      </c>
      <c r="B3">
        <v>2292</v>
      </c>
      <c r="C3" s="20" t="s">
        <v>91</v>
      </c>
      <c r="D3" s="3">
        <f>'proposed water'!D5</f>
        <v>16</v>
      </c>
      <c r="E3" s="3">
        <f>'proposed water'!E5</f>
        <v>3.55</v>
      </c>
      <c r="F3" s="3">
        <f>I3*12</f>
        <v>974267.99999999977</v>
      </c>
      <c r="G3" s="3">
        <f>'existing water'!F5</f>
        <v>32.328534031413611</v>
      </c>
      <c r="H3" s="3">
        <f>'proposed water'!F5</f>
        <v>35.422774869109944</v>
      </c>
      <c r="I3" s="3">
        <f>H3*B3</f>
        <v>81188.999999999985</v>
      </c>
      <c r="J3" s="38">
        <f>'existing sewer'!F7</f>
        <v>40.388494318181813</v>
      </c>
      <c r="K3" s="38">
        <f>'proposed sewer'!F7</f>
        <v>44.254971590909093</v>
      </c>
      <c r="L3" s="38">
        <f>(K3+H3)-(J3+G3)</f>
        <v>6.9607181104236133</v>
      </c>
      <c r="M3" s="61">
        <f>L3/(J3+G3)</f>
        <v>9.5723357628960934E-2</v>
      </c>
      <c r="N3" s="38">
        <f>'proposed water'!H5-'existing water'!H5</f>
        <v>85103.999999999767</v>
      </c>
      <c r="O3" s="38">
        <f>'proposed sewer'!H7-'existing sewer'!H7</f>
        <v>102075.00000000023</v>
      </c>
    </row>
    <row r="4" spans="1:15" x14ac:dyDescent="0.25">
      <c r="A4" t="s">
        <v>47</v>
      </c>
      <c r="B4">
        <v>21</v>
      </c>
      <c r="C4">
        <v>140</v>
      </c>
      <c r="D4" s="3">
        <f>'proposed water'!D6</f>
        <v>19</v>
      </c>
      <c r="E4" s="3">
        <f>'proposed water'!E6</f>
        <v>3.55</v>
      </c>
      <c r="F4" s="3">
        <f>I4*12</f>
        <v>10752.000000000002</v>
      </c>
      <c r="G4" s="3">
        <f>'existing water'!F6</f>
        <v>39.333333333333336</v>
      </c>
      <c r="H4" s="3">
        <f>'proposed water'!F6</f>
        <v>42.666666666666671</v>
      </c>
      <c r="I4" s="3">
        <f t="shared" ref="I4:I6" si="0">H4*B4</f>
        <v>896.00000000000011</v>
      </c>
      <c r="J4" s="38">
        <f>'existing sewer'!F8</f>
        <v>38.380681818181813</v>
      </c>
      <c r="K4" s="38">
        <f>'proposed sewer'!F8</f>
        <v>41.903409090909093</v>
      </c>
      <c r="L4" s="38">
        <f t="shared" ref="L4:L6" si="1">(K4+H4)-(J4+G4)</f>
        <v>6.8560606060606091</v>
      </c>
      <c r="M4" s="61">
        <f t="shared" ref="M4:M6" si="2">L4/(J4+G4)</f>
        <v>8.8221675237004402E-2</v>
      </c>
      <c r="N4" s="38">
        <f>'proposed water'!H6-'existing water'!H6</f>
        <v>840.00000000000182</v>
      </c>
      <c r="O4" s="38">
        <f>'proposed sewer'!H8-'existing sewer'!H8</f>
        <v>465.00000000000091</v>
      </c>
    </row>
    <row r="5" spans="1:15" x14ac:dyDescent="0.25">
      <c r="A5" t="s">
        <v>48</v>
      </c>
      <c r="B5">
        <v>1</v>
      </c>
      <c r="C5">
        <v>11</v>
      </c>
      <c r="D5" s="3">
        <f>'proposed water'!D7</f>
        <v>30</v>
      </c>
      <c r="E5" s="3">
        <f>'proposed water'!E7</f>
        <v>3.55</v>
      </c>
      <c r="F5" s="3">
        <f>I5*12</f>
        <v>828.59999999999991</v>
      </c>
      <c r="G5" s="3">
        <f>'existing water'!F7</f>
        <v>63.85</v>
      </c>
      <c r="H5" s="3">
        <f>'proposed water'!F7</f>
        <v>69.05</v>
      </c>
      <c r="I5" s="3">
        <f t="shared" si="0"/>
        <v>69.05</v>
      </c>
      <c r="J5" s="38">
        <f>'existing sewer'!F9</f>
        <v>79.8125</v>
      </c>
      <c r="K5" s="38">
        <f>'proposed sewer'!F9</f>
        <v>86.3125</v>
      </c>
      <c r="L5" s="38">
        <f t="shared" si="1"/>
        <v>11.700000000000017</v>
      </c>
      <c r="M5" s="61">
        <f t="shared" si="2"/>
        <v>8.1440877055599187E-2</v>
      </c>
      <c r="N5" s="38">
        <f>'proposed water'!H7-'existing water'!H7</f>
        <v>62.399999999999864</v>
      </c>
      <c r="O5" s="38">
        <f>'proposed sewer'!H9-'existing sewer'!H9</f>
        <v>78</v>
      </c>
    </row>
    <row r="6" spans="1:15" x14ac:dyDescent="0.25">
      <c r="A6" t="s">
        <v>49</v>
      </c>
      <c r="B6">
        <v>2</v>
      </c>
      <c r="C6">
        <v>13</v>
      </c>
      <c r="D6" s="3">
        <f>'proposed water'!D8</f>
        <v>46</v>
      </c>
      <c r="E6" s="3">
        <f>'proposed water'!E8</f>
        <v>3.55</v>
      </c>
      <c r="F6" s="3">
        <f>I6*12</f>
        <v>1657.8000000000002</v>
      </c>
      <c r="G6" s="3">
        <f>'existing water'!F8</f>
        <v>64.775000000000006</v>
      </c>
      <c r="H6" s="3">
        <f>'proposed water'!F8</f>
        <v>69.075000000000003</v>
      </c>
      <c r="I6" s="3">
        <f t="shared" si="0"/>
        <v>138.15</v>
      </c>
      <c r="J6" s="38">
        <f>'existing sewer'!F10</f>
        <v>80.96875</v>
      </c>
      <c r="K6" s="38">
        <f>'proposed sewer'!F10</f>
        <v>86.34375</v>
      </c>
      <c r="L6" s="38">
        <f t="shared" si="1"/>
        <v>9.6749999999999829</v>
      </c>
      <c r="M6" s="61">
        <f t="shared" si="2"/>
        <v>6.6383635661906484E-2</v>
      </c>
      <c r="N6" s="38">
        <f>'proposed water'!H8-'existing water'!H8</f>
        <v>103.20000000000005</v>
      </c>
      <c r="O6" s="38">
        <f>'proposed sewer'!H10-'existing sewer'!H10</f>
        <v>129</v>
      </c>
    </row>
    <row r="7" spans="1:15" s="5" customFormat="1" x14ac:dyDescent="0.25">
      <c r="A7" s="10" t="s">
        <v>69</v>
      </c>
      <c r="B7" s="5">
        <f>SUM(B3:B6)</f>
        <v>2316</v>
      </c>
      <c r="D7" s="9"/>
      <c r="E7" s="9"/>
      <c r="F7" s="9">
        <f>SUM(F3:F6)</f>
        <v>987506.39999999979</v>
      </c>
      <c r="G7" s="9"/>
      <c r="H7" s="9"/>
      <c r="I7" s="9">
        <f>SUM(I3:I6)</f>
        <v>82292.199999999983</v>
      </c>
    </row>
    <row r="8" spans="1:15" x14ac:dyDescent="0.25">
      <c r="C8" s="72"/>
      <c r="H8" s="3"/>
    </row>
    <row r="9" spans="1:15" x14ac:dyDescent="0.25">
      <c r="A9" t="s">
        <v>5</v>
      </c>
      <c r="B9">
        <v>313</v>
      </c>
      <c r="C9">
        <v>1806</v>
      </c>
      <c r="D9" s="3">
        <f>'proposed water'!D11</f>
        <v>16</v>
      </c>
      <c r="E9" s="3">
        <f>'proposed water'!E11</f>
        <v>3.55</v>
      </c>
      <c r="F9" s="3">
        <f>I9*12</f>
        <v>137031.59999999998</v>
      </c>
      <c r="G9" s="3">
        <f>'existing water'!F11</f>
        <v>33.329392971246008</v>
      </c>
      <c r="H9" s="3">
        <f>'proposed water'!F11</f>
        <v>36.483386581469645</v>
      </c>
      <c r="I9" s="3">
        <f t="shared" ref="I9:I13" si="3">H9*B9</f>
        <v>11419.3</v>
      </c>
      <c r="J9" s="38">
        <f>'existing sewer'!F13</f>
        <v>42.884913793103451</v>
      </c>
      <c r="K9" s="38">
        <f>'proposed sewer'!F13</f>
        <v>46.900431034482757</v>
      </c>
      <c r="L9" s="38">
        <f t="shared" ref="L9:L13" si="4">(K9+H9)-(J9+G9)</f>
        <v>7.1695108516029507</v>
      </c>
      <c r="M9" s="39">
        <f t="shared" ref="M9:M13" si="5">L9/(J9+G9)</f>
        <v>9.4070406935153172E-2</v>
      </c>
      <c r="N9" s="38">
        <f>'proposed water'!H11-'existing water'!H11</f>
        <v>11846.399999999965</v>
      </c>
      <c r="O9" s="38">
        <f>'proposed sewer'!H13-'existing sewer'!H13</f>
        <v>13974</v>
      </c>
    </row>
    <row r="10" spans="1:15" x14ac:dyDescent="0.25">
      <c r="A10" t="s">
        <v>50</v>
      </c>
      <c r="B10">
        <v>31</v>
      </c>
      <c r="C10">
        <v>303</v>
      </c>
      <c r="D10" s="3">
        <f>'proposed water'!D12</f>
        <v>19</v>
      </c>
      <c r="E10" s="3">
        <f>'proposed water'!E12</f>
        <v>3.55</v>
      </c>
      <c r="F10" s="3">
        <f>I10*12</f>
        <v>19975.8</v>
      </c>
      <c r="G10" s="3">
        <f>'existing water'!F12</f>
        <v>49.743548387096773</v>
      </c>
      <c r="H10" s="3">
        <f>'proposed water'!F12</f>
        <v>53.698387096774191</v>
      </c>
      <c r="I10" s="3">
        <f t="shared" si="3"/>
        <v>1664.6499999999999</v>
      </c>
      <c r="J10" s="38">
        <f>'existing sewer'!F14</f>
        <v>59.685267857142861</v>
      </c>
      <c r="K10" s="38">
        <f>'proposed sewer'!F14</f>
        <v>64.479910714285722</v>
      </c>
      <c r="L10" s="38">
        <f t="shared" si="4"/>
        <v>8.7494815668202648</v>
      </c>
      <c r="M10" s="39">
        <f t="shared" si="5"/>
        <v>7.9955918990221544E-2</v>
      </c>
      <c r="N10" s="38">
        <f>'proposed water'!H12-'existing water'!H12</f>
        <v>1471.2000000000007</v>
      </c>
      <c r="O10" s="38">
        <f>'proposed sewer'!H14-'existing sewer'!H14</f>
        <v>1611.0000000000036</v>
      </c>
    </row>
    <row r="11" spans="1:15" x14ac:dyDescent="0.25">
      <c r="A11" t="s">
        <v>7</v>
      </c>
      <c r="B11">
        <v>2</v>
      </c>
      <c r="C11">
        <v>21</v>
      </c>
      <c r="D11" s="3">
        <f>'proposed water'!D13</f>
        <v>30</v>
      </c>
      <c r="E11" s="3">
        <f>'proposed water'!E13</f>
        <v>3.55</v>
      </c>
      <c r="F11" s="3">
        <f>I11*12</f>
        <v>1614.6000000000001</v>
      </c>
      <c r="G11" s="3">
        <f>'existing water'!F13</f>
        <v>62.175000000000004</v>
      </c>
      <c r="H11" s="3">
        <f>'proposed water'!F13</f>
        <v>67.275000000000006</v>
      </c>
      <c r="I11" s="3">
        <f t="shared" si="3"/>
        <v>134.55000000000001</v>
      </c>
      <c r="J11" s="38">
        <f>'existing sewer'!F15</f>
        <v>77.71875</v>
      </c>
      <c r="K11" s="38">
        <f>'proposed sewer'!F15</f>
        <v>84.09375</v>
      </c>
      <c r="L11" s="38">
        <f t="shared" si="4"/>
        <v>11.474999999999994</v>
      </c>
      <c r="M11" s="39">
        <f t="shared" si="5"/>
        <v>8.2026537997587412E-2</v>
      </c>
      <c r="N11" s="38">
        <f>'proposed water'!H13-'existing water'!H13</f>
        <v>122.40000000000009</v>
      </c>
      <c r="O11" s="38">
        <f>'proposed sewer'!H15-'existing sewer'!H15</f>
        <v>153</v>
      </c>
    </row>
    <row r="12" spans="1:15" x14ac:dyDescent="0.25">
      <c r="A12" t="s">
        <v>8</v>
      </c>
      <c r="B12">
        <v>48</v>
      </c>
      <c r="C12" s="4">
        <v>2366</v>
      </c>
      <c r="D12" s="3">
        <f>'proposed water'!D14</f>
        <v>46</v>
      </c>
      <c r="E12" s="3">
        <f>'proposed water'!E14</f>
        <v>3.55</v>
      </c>
      <c r="F12" s="3">
        <f>I12*12</f>
        <v>127287.59999999999</v>
      </c>
      <c r="G12" s="3">
        <f>'existing water'!F14</f>
        <v>208.12708333333333</v>
      </c>
      <c r="H12" s="3">
        <f>'proposed water'!F14</f>
        <v>220.98541666666665</v>
      </c>
      <c r="I12" s="3">
        <f t="shared" si="3"/>
        <v>10607.3</v>
      </c>
      <c r="J12" s="38">
        <f>'existing sewer'!F16</f>
        <v>279.36432926829264</v>
      </c>
      <c r="K12" s="38">
        <f>'proposed sewer'!F16</f>
        <v>296.58384146341461</v>
      </c>
      <c r="L12" s="38">
        <f t="shared" si="4"/>
        <v>30.077845528455327</v>
      </c>
      <c r="M12" s="39">
        <f t="shared" si="5"/>
        <v>6.1699231516586121E-2</v>
      </c>
      <c r="N12" s="38">
        <f>'proposed water'!H14-'existing water'!H14</f>
        <v>7406.3999999999796</v>
      </c>
      <c r="O12" s="38">
        <f>'proposed sewer'!H16-'existing sewer'!H16</f>
        <v>8472.0000000000291</v>
      </c>
    </row>
    <row r="13" spans="1:15" x14ac:dyDescent="0.25">
      <c r="A13" t="s">
        <v>9</v>
      </c>
      <c r="B13">
        <v>1</v>
      </c>
      <c r="C13">
        <v>529</v>
      </c>
      <c r="D13" s="3">
        <f>'proposed water'!D15</f>
        <v>85</v>
      </c>
      <c r="E13" s="3">
        <f>'proposed water'!E15</f>
        <v>3.55</v>
      </c>
      <c r="F13" s="3">
        <f>I13*12</f>
        <v>23555.399999999998</v>
      </c>
      <c r="G13" s="3">
        <f>'existing water'!F15</f>
        <v>1852.15</v>
      </c>
      <c r="H13" s="3">
        <f>'proposed water'!F15</f>
        <v>1962.9499999999998</v>
      </c>
      <c r="I13" s="3">
        <f t="shared" si="3"/>
        <v>1962.9499999999998</v>
      </c>
      <c r="J13" s="38">
        <f>'existing sewer'!F17</f>
        <v>2315.1875</v>
      </c>
      <c r="K13" s="38">
        <f>'proposed sewer'!F17</f>
        <v>2453.6875</v>
      </c>
      <c r="L13" s="38">
        <f t="shared" si="4"/>
        <v>249.30000000000018</v>
      </c>
      <c r="M13" s="39">
        <f t="shared" si="5"/>
        <v>5.9822368598655667E-2</v>
      </c>
      <c r="N13" s="38">
        <f>'proposed water'!H15-'existing water'!H15</f>
        <v>1329.5999999999949</v>
      </c>
      <c r="O13" s="38">
        <f>'proposed sewer'!H17-'existing sewer'!H17</f>
        <v>1662</v>
      </c>
    </row>
    <row r="14" spans="1:15" s="5" customFormat="1" x14ac:dyDescent="0.25">
      <c r="A14" s="10" t="s">
        <v>69</v>
      </c>
      <c r="B14" s="5">
        <f>SUM(B9:B13)</f>
        <v>395</v>
      </c>
      <c r="D14" s="9"/>
      <c r="E14" s="9"/>
      <c r="F14" s="9">
        <f>SUM(F9:F13)</f>
        <v>309465</v>
      </c>
      <c r="G14" s="9"/>
      <c r="H14" s="9"/>
      <c r="I14" s="9">
        <f>SUM(I9:I13)</f>
        <v>25788.749999999996</v>
      </c>
    </row>
    <row r="15" spans="1:15" x14ac:dyDescent="0.25">
      <c r="H15" s="3"/>
    </row>
    <row r="16" spans="1:15" x14ac:dyDescent="0.25">
      <c r="A16" t="s">
        <v>10</v>
      </c>
      <c r="B16">
        <v>2</v>
      </c>
      <c r="C16">
        <v>2</v>
      </c>
      <c r="D16" s="3">
        <f>'proposed water'!D18</f>
        <v>16</v>
      </c>
      <c r="E16" s="3">
        <f>'proposed water'!E18</f>
        <v>3.15</v>
      </c>
      <c r="F16" s="3">
        <f>I16*12</f>
        <v>459.59999999999997</v>
      </c>
      <c r="G16" s="3">
        <f>'existing water'!F18</f>
        <v>16.95</v>
      </c>
      <c r="H16" s="3">
        <f>'proposed water'!F18</f>
        <v>19.149999999999999</v>
      </c>
      <c r="I16" s="3">
        <f t="shared" ref="I16:I17" si="6">H16*B16</f>
        <v>38.299999999999997</v>
      </c>
      <c r="J16" s="38">
        <f>'existing sewer'!F20</f>
        <v>21.1875</v>
      </c>
      <c r="K16" s="38">
        <f>'proposed sewer'!F20</f>
        <v>23.9375</v>
      </c>
      <c r="L16" s="38">
        <f t="shared" ref="L16:L23" si="7">(K16+H16)-(J16+G16)</f>
        <v>4.9499999999999957</v>
      </c>
      <c r="M16" s="39">
        <f t="shared" ref="M16:M23" si="8">L16/(J16+G16)</f>
        <v>0.12979351032448366</v>
      </c>
      <c r="N16" s="38">
        <f>'proposed water'!H18-'existing water'!H18</f>
        <v>52.800000000000011</v>
      </c>
      <c r="O16" s="38">
        <f>'proposed sewer'!H20-'existing sewer'!H20</f>
        <v>66</v>
      </c>
    </row>
    <row r="17" spans="1:17" x14ac:dyDescent="0.25">
      <c r="A17" t="s">
        <v>51</v>
      </c>
      <c r="B17">
        <v>4</v>
      </c>
      <c r="C17">
        <v>11</v>
      </c>
      <c r="D17" s="3">
        <f>'proposed water'!D19</f>
        <v>19</v>
      </c>
      <c r="E17" s="3">
        <f>'proposed water'!E19</f>
        <v>3.15</v>
      </c>
      <c r="F17" s="3">
        <f>I17*12</f>
        <v>1327.8000000000002</v>
      </c>
      <c r="G17" s="3">
        <f>'existing water'!F19</f>
        <v>25.112500000000001</v>
      </c>
      <c r="H17" s="3">
        <f>'proposed water'!F19</f>
        <v>27.662500000000001</v>
      </c>
      <c r="I17" s="3">
        <f t="shared" si="6"/>
        <v>110.65</v>
      </c>
      <c r="J17" s="38">
        <f>'existing sewer'!F21</f>
        <v>31.390625</v>
      </c>
      <c r="K17" s="38">
        <f>'proposed sewer'!F21</f>
        <v>34.578125</v>
      </c>
      <c r="L17" s="38">
        <f t="shared" si="7"/>
        <v>5.7375000000000043</v>
      </c>
      <c r="M17" s="39">
        <f t="shared" si="8"/>
        <v>0.10154305624688909</v>
      </c>
      <c r="N17" s="38">
        <f>'proposed water'!H19-'existing water'!H19</f>
        <v>122.40000000000009</v>
      </c>
      <c r="O17" s="38">
        <f>'proposed sewer'!H21-'existing sewer'!H21</f>
        <v>153</v>
      </c>
    </row>
    <row r="18" spans="1:17" x14ac:dyDescent="0.25">
      <c r="A18" t="s">
        <v>11</v>
      </c>
      <c r="B18">
        <v>0</v>
      </c>
      <c r="C18">
        <v>0</v>
      </c>
      <c r="D18" s="3">
        <f>'proposed water'!D20</f>
        <v>30</v>
      </c>
      <c r="E18" s="3">
        <f>'proposed water'!E20</f>
        <v>3.15</v>
      </c>
      <c r="F18" s="3">
        <v>0</v>
      </c>
      <c r="G18" s="3">
        <f>'existing water'!F20</f>
        <v>0</v>
      </c>
      <c r="H18" s="3">
        <f>'proposed water'!F20</f>
        <v>0</v>
      </c>
      <c r="I18" s="3">
        <v>0</v>
      </c>
      <c r="J18" s="38">
        <f>'existing sewer'!F22</f>
        <v>0</v>
      </c>
      <c r="K18" s="38">
        <f>'proposed sewer'!F22</f>
        <v>0</v>
      </c>
      <c r="L18" s="38">
        <f t="shared" si="7"/>
        <v>0</v>
      </c>
      <c r="M18" s="39" t="e">
        <f t="shared" si="8"/>
        <v>#DIV/0!</v>
      </c>
      <c r="N18" s="38">
        <f>'proposed water'!H20-'existing water'!H20</f>
        <v>0</v>
      </c>
      <c r="O18" s="38">
        <f>'proposed sewer'!H22-'existing sewer'!H22</f>
        <v>0</v>
      </c>
      <c r="Q18" s="40"/>
    </row>
    <row r="19" spans="1:17" x14ac:dyDescent="0.25">
      <c r="A19" t="s">
        <v>12</v>
      </c>
      <c r="B19">
        <v>10</v>
      </c>
      <c r="C19" s="4">
        <v>2771</v>
      </c>
      <c r="D19" s="3">
        <f>'proposed water'!D21</f>
        <v>46</v>
      </c>
      <c r="E19" s="3">
        <f>'proposed water'!E21</f>
        <v>3.15</v>
      </c>
      <c r="F19" s="3">
        <f>I19*12</f>
        <v>110263.79999999999</v>
      </c>
      <c r="G19" s="3">
        <f>'existing water'!F21</f>
        <v>860.44500000000016</v>
      </c>
      <c r="H19" s="3">
        <f>'proposed water'!F21</f>
        <v>918.86500000000001</v>
      </c>
      <c r="I19" s="3">
        <f t="shared" ref="I19" si="9">H19*B19</f>
        <v>9188.65</v>
      </c>
      <c r="J19" s="38">
        <f>'existing sewer'!F23</f>
        <v>1075.5562500000001</v>
      </c>
      <c r="K19" s="38">
        <f>'proposed sewer'!F23</f>
        <v>1148.5812500000002</v>
      </c>
      <c r="L19" s="38">
        <f t="shared" si="7"/>
        <v>131.44499999999971</v>
      </c>
      <c r="M19" s="39">
        <f t="shared" si="8"/>
        <v>6.7895100790869675E-2</v>
      </c>
      <c r="N19" s="38">
        <f>'proposed water'!H21-'existing water'!H21</f>
        <v>7010.3999999999796</v>
      </c>
      <c r="O19" s="38">
        <f>'proposed sewer'!H23-'existing sewer'!H23</f>
        <v>8763.0000000000291</v>
      </c>
      <c r="Q19" s="41"/>
    </row>
    <row r="20" spans="1:17" x14ac:dyDescent="0.25">
      <c r="A20" t="s">
        <v>13</v>
      </c>
      <c r="B20">
        <v>0</v>
      </c>
      <c r="C20">
        <v>0</v>
      </c>
      <c r="D20" s="3">
        <f>'proposed water'!D22</f>
        <v>85</v>
      </c>
      <c r="E20" s="3">
        <f>'proposed water'!E22</f>
        <v>3.15</v>
      </c>
      <c r="F20" s="3">
        <v>0</v>
      </c>
      <c r="G20" s="3">
        <f>'existing water'!F22</f>
        <v>0</v>
      </c>
      <c r="H20" s="3">
        <f>'proposed water'!F22</f>
        <v>0</v>
      </c>
      <c r="I20" s="3">
        <v>0</v>
      </c>
      <c r="J20" s="38">
        <f>'existing sewer'!F24</f>
        <v>0</v>
      </c>
      <c r="K20" s="38">
        <f>'proposed sewer'!F24</f>
        <v>0</v>
      </c>
      <c r="L20" s="38">
        <f t="shared" si="7"/>
        <v>0</v>
      </c>
      <c r="M20" s="39" t="e">
        <f t="shared" si="8"/>
        <v>#DIV/0!</v>
      </c>
      <c r="N20" s="38">
        <f>'proposed water'!H22-'existing water'!H22</f>
        <v>0</v>
      </c>
      <c r="O20" s="38">
        <f>'proposed sewer'!H24-'existing sewer'!H24</f>
        <v>0</v>
      </c>
    </row>
    <row r="21" spans="1:17" x14ac:dyDescent="0.25">
      <c r="A21" t="s">
        <v>52</v>
      </c>
      <c r="B21">
        <v>0</v>
      </c>
      <c r="C21">
        <v>0</v>
      </c>
      <c r="D21" s="3">
        <f>'proposed water'!D23</f>
        <v>120</v>
      </c>
      <c r="E21" s="3">
        <f>'proposed water'!E23</f>
        <v>3.15</v>
      </c>
      <c r="F21" s="3">
        <v>0</v>
      </c>
      <c r="G21" s="3">
        <f>'existing water'!F23</f>
        <v>0</v>
      </c>
      <c r="H21" s="3">
        <f>'proposed water'!F23</f>
        <v>0</v>
      </c>
      <c r="I21" s="3">
        <v>0</v>
      </c>
      <c r="J21" s="38">
        <f>'existing sewer'!F25</f>
        <v>0</v>
      </c>
      <c r="K21" s="38">
        <f>'proposed sewer'!F25</f>
        <v>0</v>
      </c>
      <c r="L21" s="38">
        <f t="shared" si="7"/>
        <v>0</v>
      </c>
      <c r="M21" s="39" t="e">
        <f t="shared" si="8"/>
        <v>#DIV/0!</v>
      </c>
      <c r="N21" s="38">
        <f>'proposed water'!H23-'existing water'!H23</f>
        <v>0</v>
      </c>
      <c r="O21" s="38">
        <f>'proposed sewer'!H25-'existing sewer'!H25</f>
        <v>0</v>
      </c>
    </row>
    <row r="22" spans="1:17" x14ac:dyDescent="0.25">
      <c r="A22" t="s">
        <v>15</v>
      </c>
      <c r="B22">
        <v>2</v>
      </c>
      <c r="C22">
        <v>10</v>
      </c>
      <c r="D22" s="3">
        <f>'proposed water'!D24</f>
        <v>260</v>
      </c>
      <c r="E22" s="3">
        <f>'proposed water'!E24</f>
        <v>3.15</v>
      </c>
      <c r="F22" s="3">
        <f>I22*12</f>
        <v>6618</v>
      </c>
      <c r="G22" s="3">
        <f>'existing water'!F24</f>
        <v>266.75</v>
      </c>
      <c r="H22" s="3">
        <f>'proposed water'!F24</f>
        <v>275.75</v>
      </c>
      <c r="I22" s="3">
        <f t="shared" ref="I22:I23" si="10">H22*B22</f>
        <v>551.5</v>
      </c>
      <c r="J22" s="38">
        <f>'existing sewer'!F26</f>
        <v>333.4375</v>
      </c>
      <c r="K22" s="38">
        <f>'proposed sewer'!F26</f>
        <v>344.6875</v>
      </c>
      <c r="L22" s="38">
        <f t="shared" si="7"/>
        <v>20.25</v>
      </c>
      <c r="M22" s="39">
        <f t="shared" si="8"/>
        <v>3.3739456419868794E-2</v>
      </c>
      <c r="N22" s="38">
        <f>'proposed water'!H24-'existing water'!H24</f>
        <v>216</v>
      </c>
      <c r="O22" s="38">
        <f>'proposed sewer'!H26-'existing sewer'!H26</f>
        <v>270</v>
      </c>
    </row>
    <row r="23" spans="1:17" x14ac:dyDescent="0.25">
      <c r="A23" t="s">
        <v>43</v>
      </c>
      <c r="B23">
        <v>1</v>
      </c>
      <c r="C23" s="4">
        <v>5357</v>
      </c>
      <c r="D23" s="3">
        <f>'proposed water'!D25</f>
        <v>460</v>
      </c>
      <c r="E23" s="3">
        <f>'proposed water'!E25</f>
        <v>3.15</v>
      </c>
      <c r="F23" s="3">
        <f>I23*12</f>
        <v>208014.59999999998</v>
      </c>
      <c r="G23" s="3">
        <f>'existing water'!F25</f>
        <v>16253.150000000001</v>
      </c>
      <c r="H23" s="3">
        <f>'proposed water'!F25</f>
        <v>17334.55</v>
      </c>
      <c r="I23" s="3">
        <f t="shared" si="10"/>
        <v>17334.55</v>
      </c>
      <c r="J23" s="38">
        <f>'existing sewer'!F27</f>
        <v>20316.4375</v>
      </c>
      <c r="K23" s="38">
        <f>'proposed sewer'!F27</f>
        <v>21668.1875</v>
      </c>
      <c r="L23" s="38">
        <f t="shared" si="7"/>
        <v>2433.1500000000015</v>
      </c>
      <c r="M23" s="39">
        <f t="shared" si="8"/>
        <v>6.653479479362466E-2</v>
      </c>
      <c r="N23" s="38">
        <f>'proposed water'!H25-'existing water'!H25</f>
        <v>12976.799999999959</v>
      </c>
      <c r="O23" s="38">
        <f>'proposed sewer'!H27-'existing sewer'!H27</f>
        <v>16221</v>
      </c>
    </row>
    <row r="24" spans="1:17" s="5" customFormat="1" x14ac:dyDescent="0.25">
      <c r="A24" s="10" t="s">
        <v>69</v>
      </c>
      <c r="B24" s="5">
        <f>SUM(B16:B23)</f>
        <v>19</v>
      </c>
      <c r="C24" s="22"/>
      <c r="D24" s="9"/>
      <c r="E24" s="9"/>
      <c r="F24" s="9">
        <f>SUM(F16:F23)</f>
        <v>326683.79999999993</v>
      </c>
      <c r="G24" s="9"/>
      <c r="H24" s="9"/>
      <c r="I24" s="9">
        <f>SUM(I16:I23)</f>
        <v>27223.65</v>
      </c>
    </row>
    <row r="25" spans="1:17" x14ac:dyDescent="0.25">
      <c r="H25" s="3"/>
    </row>
    <row r="26" spans="1:17" x14ac:dyDescent="0.25">
      <c r="A26" t="s">
        <v>17</v>
      </c>
      <c r="B26">
        <v>5</v>
      </c>
      <c r="C26">
        <v>40</v>
      </c>
      <c r="D26" s="3">
        <f>'proposed water'!D28</f>
        <v>16</v>
      </c>
      <c r="E26" s="3">
        <f>'proposed water'!E28</f>
        <v>3.55</v>
      </c>
      <c r="F26" s="3">
        <f>I26*12</f>
        <v>2664</v>
      </c>
      <c r="G26" s="3">
        <f>'existing water'!F28</f>
        <v>40.799999999999997</v>
      </c>
      <c r="H26" s="3">
        <f>'proposed water'!F28</f>
        <v>44.4</v>
      </c>
      <c r="I26" s="3">
        <f t="shared" ref="I26" si="11">H26*B26</f>
        <v>222</v>
      </c>
      <c r="J26">
        <v>0</v>
      </c>
      <c r="K26">
        <v>0</v>
      </c>
      <c r="L26" s="38">
        <f t="shared" ref="L26" si="12">(K26+H26)-(J26+G26)</f>
        <v>3.6000000000000014</v>
      </c>
      <c r="M26" s="39">
        <f t="shared" ref="M26" si="13">L26/(J26+G26)</f>
        <v>8.8235294117647106E-2</v>
      </c>
      <c r="N26" s="38">
        <f>'proposed water'!H28-'existing water'!H28</f>
        <v>216</v>
      </c>
      <c r="O26" s="38"/>
    </row>
    <row r="27" spans="1:17" x14ac:dyDescent="0.25">
      <c r="H27" s="3"/>
    </row>
    <row r="28" spans="1:17" s="35" customFormat="1" x14ac:dyDescent="0.25">
      <c r="A28" s="34" t="s">
        <v>70</v>
      </c>
      <c r="B28" s="35">
        <f>SUM(B26,B24,B14,B7)</f>
        <v>2735</v>
      </c>
      <c r="D28" s="36"/>
      <c r="E28" s="36"/>
      <c r="F28" s="36">
        <f>SUM(F26,F24,F14,F7)</f>
        <v>1626319.1999999997</v>
      </c>
      <c r="G28" s="36"/>
      <c r="H28" s="36"/>
      <c r="I28" s="36">
        <f>SUM(I26,I24,I14,I7)</f>
        <v>135526.59999999998</v>
      </c>
    </row>
    <row r="29" spans="1:17" x14ac:dyDescent="0.25">
      <c r="H29" s="3"/>
    </row>
    <row r="30" spans="1:17" x14ac:dyDescent="0.25">
      <c r="A30" t="s">
        <v>53</v>
      </c>
      <c r="B30">
        <v>3858</v>
      </c>
      <c r="C30">
        <v>17171</v>
      </c>
      <c r="D30" s="3">
        <f>'proposed water'!D33</f>
        <v>24</v>
      </c>
      <c r="E30" s="3">
        <f>'proposed water'!E33</f>
        <v>5.3249999999999993</v>
      </c>
      <c r="F30" s="3">
        <f>I30*12</f>
        <v>2208330.9</v>
      </c>
      <c r="G30" s="3">
        <f>'existing water'!F33</f>
        <v>43.365027216174184</v>
      </c>
      <c r="H30" s="3">
        <f>'proposed water'!F33</f>
        <v>47.700252721617417</v>
      </c>
      <c r="I30" s="3">
        <f t="shared" ref="I30:I33" si="14">H30*B30</f>
        <v>184027.57499999998</v>
      </c>
      <c r="J30" s="38">
        <f>'existing sewer'!F32</f>
        <v>95.8671875</v>
      </c>
      <c r="K30" s="38">
        <f>'proposed sewer'!F32</f>
        <v>103.7734375</v>
      </c>
      <c r="L30" s="38">
        <f t="shared" ref="L30:L33" si="15">(K30+H30)-(J30+G30)</f>
        <v>12.241475505443219</v>
      </c>
      <c r="M30" s="39">
        <f t="shared" ref="M30:M33" si="16">L30/(J30+G30)</f>
        <v>8.792128696938098E-2</v>
      </c>
      <c r="N30" s="38">
        <f>'proposed water'!H33-'existing water'!H33</f>
        <v>200703.60000000009</v>
      </c>
      <c r="O30" s="38">
        <f>'proposed sewer'!H32-'existing sewer'!H32</f>
        <v>2277</v>
      </c>
    </row>
    <row r="31" spans="1:17" x14ac:dyDescent="0.25">
      <c r="A31" t="s">
        <v>54</v>
      </c>
      <c r="B31">
        <v>208</v>
      </c>
      <c r="C31">
        <v>1562</v>
      </c>
      <c r="D31" s="3">
        <f>'proposed water'!D34</f>
        <v>28.5</v>
      </c>
      <c r="E31" s="3">
        <f>'proposed water'!E34</f>
        <v>5.3249999999999993</v>
      </c>
      <c r="F31" s="3">
        <f>I31*12</f>
        <v>170947.8</v>
      </c>
      <c r="G31" s="3">
        <f>'existing water'!F34</f>
        <v>63.235817307692315</v>
      </c>
      <c r="H31" s="3">
        <f>'proposed water'!F34</f>
        <v>68.488701923076917</v>
      </c>
      <c r="I31" s="3">
        <f t="shared" si="14"/>
        <v>14245.649999999998</v>
      </c>
      <c r="J31" s="38">
        <f>'existing sewer'!F33</f>
        <v>0</v>
      </c>
      <c r="K31" s="38">
        <f>'proposed sewer'!F33</f>
        <v>0</v>
      </c>
      <c r="L31" s="38">
        <f t="shared" si="15"/>
        <v>5.2528846153846018</v>
      </c>
      <c r="M31" s="39">
        <f t="shared" si="16"/>
        <v>8.306818570597671E-2</v>
      </c>
      <c r="N31" s="38">
        <f>'proposed water'!H34-'existing water'!H34</f>
        <v>13111.199999999983</v>
      </c>
      <c r="O31" s="38">
        <f>'proposed sewer'!H33-'existing sewer'!H33</f>
        <v>0</v>
      </c>
    </row>
    <row r="32" spans="1:17" x14ac:dyDescent="0.25">
      <c r="A32" t="s">
        <v>55</v>
      </c>
      <c r="B32">
        <v>0</v>
      </c>
      <c r="C32">
        <v>0</v>
      </c>
      <c r="D32" s="3">
        <f>'proposed water'!D35</f>
        <v>45</v>
      </c>
      <c r="E32" s="3">
        <f>'proposed water'!E35</f>
        <v>5.3249999999999993</v>
      </c>
      <c r="F32" s="3">
        <f>I32*12</f>
        <v>0</v>
      </c>
      <c r="G32" s="3">
        <f>'existing water'!F35</f>
        <v>0</v>
      </c>
      <c r="H32" s="3">
        <f>'proposed water'!F35</f>
        <v>0</v>
      </c>
      <c r="I32" s="3">
        <f t="shared" si="14"/>
        <v>0</v>
      </c>
      <c r="J32" s="38">
        <f>'existing sewer'!F34</f>
        <v>0</v>
      </c>
      <c r="K32" s="38">
        <f>'proposed sewer'!F34</f>
        <v>0</v>
      </c>
      <c r="L32" s="38">
        <f t="shared" si="15"/>
        <v>0</v>
      </c>
      <c r="M32" s="39" t="e">
        <f t="shared" si="16"/>
        <v>#DIV/0!</v>
      </c>
      <c r="N32" s="38">
        <f>'proposed water'!H35-'existing water'!H35</f>
        <v>0</v>
      </c>
      <c r="O32" s="38">
        <f>'proposed sewer'!H34-'existing sewer'!H34</f>
        <v>0</v>
      </c>
    </row>
    <row r="33" spans="1:15" x14ac:dyDescent="0.25">
      <c r="A33" t="s">
        <v>56</v>
      </c>
      <c r="B33">
        <v>13</v>
      </c>
      <c r="C33">
        <v>434</v>
      </c>
      <c r="D33" s="3">
        <f>'proposed water'!D36</f>
        <v>69</v>
      </c>
      <c r="E33" s="3">
        <f>'proposed water'!E36</f>
        <v>5.3249999999999993</v>
      </c>
      <c r="F33" s="3">
        <f>I33*12</f>
        <v>38496.6</v>
      </c>
      <c r="G33" s="3">
        <f>'existing water'!F36</f>
        <v>232.25769230769234</v>
      </c>
      <c r="H33" s="3">
        <f>'proposed water'!F36</f>
        <v>246.7730769230769</v>
      </c>
      <c r="I33" s="3">
        <f t="shared" si="14"/>
        <v>3208.0499999999997</v>
      </c>
      <c r="J33" s="38">
        <f>'existing sewer'!F35</f>
        <v>0</v>
      </c>
      <c r="K33" s="38">
        <f>'proposed sewer'!F35</f>
        <v>0</v>
      </c>
      <c r="L33" s="38">
        <f t="shared" si="15"/>
        <v>14.515384615384562</v>
      </c>
      <c r="M33" s="39">
        <f t="shared" si="16"/>
        <v>6.2496895027075124E-2</v>
      </c>
      <c r="N33" s="38">
        <f>'proposed water'!H36-'existing water'!H36</f>
        <v>2264.3999999999942</v>
      </c>
      <c r="O33" s="38">
        <f>'proposed sewer'!H35-'existing sewer'!H35</f>
        <v>0</v>
      </c>
    </row>
    <row r="34" spans="1:15" s="5" customFormat="1" x14ac:dyDescent="0.25">
      <c r="A34" s="10" t="s">
        <v>69</v>
      </c>
      <c r="B34" s="5">
        <f>SUM(B30:B33)</f>
        <v>4079</v>
      </c>
      <c r="D34" s="9"/>
      <c r="E34" s="9"/>
      <c r="F34" s="9">
        <f>SUM(F30:F33)</f>
        <v>2417775.2999999998</v>
      </c>
      <c r="G34" s="9"/>
      <c r="H34" s="9"/>
      <c r="I34" s="9">
        <f>SUM(I30:I33)</f>
        <v>201481.27499999997</v>
      </c>
    </row>
    <row r="35" spans="1:15" x14ac:dyDescent="0.25">
      <c r="H35" s="3"/>
    </row>
    <row r="36" spans="1:15" x14ac:dyDescent="0.25">
      <c r="A36" t="s">
        <v>44</v>
      </c>
      <c r="B36">
        <v>148</v>
      </c>
      <c r="C36">
        <v>822</v>
      </c>
      <c r="D36" s="3">
        <f>'proposed water'!D39</f>
        <v>24</v>
      </c>
      <c r="E36" s="3">
        <f>'proposed water'!E39</f>
        <v>5.3249999999999993</v>
      </c>
      <c r="F36" s="3">
        <f>I36*12</f>
        <v>95149.799999999988</v>
      </c>
      <c r="G36" s="3">
        <f>'existing water'!F39</f>
        <v>48.909121621621622</v>
      </c>
      <c r="H36" s="3">
        <f>'proposed water'!F39</f>
        <v>53.575337837837836</v>
      </c>
      <c r="I36" s="3">
        <f t="shared" ref="I36:I37" si="17">H36*B36</f>
        <v>7929.15</v>
      </c>
      <c r="J36" s="38">
        <f>'existing sewer'!F38</f>
        <v>84.3515625</v>
      </c>
      <c r="K36" s="38">
        <f>'proposed sewer'!F38</f>
        <v>91.5703125</v>
      </c>
      <c r="L36" s="38">
        <f t="shared" ref="L36:L42" si="18">(K36+H36)-(J36+G36)</f>
        <v>11.884966216216185</v>
      </c>
      <c r="M36" s="39">
        <f t="shared" ref="M36:M43" si="19">L36/(J36+G36)</f>
        <v>8.918584122958019E-2</v>
      </c>
      <c r="N36" s="38">
        <f>'proposed water'!H39-'existing water'!H39</f>
        <v>8287.1999999999825</v>
      </c>
      <c r="O36" s="38">
        <f>'proposed sewer'!H38-'existing sewer'!H38</f>
        <v>1039.5</v>
      </c>
    </row>
    <row r="37" spans="1:15" x14ac:dyDescent="0.25">
      <c r="A37" t="s">
        <v>45</v>
      </c>
      <c r="B37">
        <v>23</v>
      </c>
      <c r="C37">
        <v>387</v>
      </c>
      <c r="D37" s="3">
        <f>'proposed water'!D40</f>
        <v>28.5</v>
      </c>
      <c r="E37" s="3">
        <f>'proposed water'!E40</f>
        <v>5.3249999999999993</v>
      </c>
      <c r="F37" s="3">
        <f>I37*12</f>
        <v>32595.299999999996</v>
      </c>
      <c r="G37" s="3">
        <f>'existing water'!F40</f>
        <v>110.05108695652174</v>
      </c>
      <c r="H37" s="3">
        <f>'proposed water'!F40</f>
        <v>118.09891304347825</v>
      </c>
      <c r="I37" s="3">
        <f t="shared" si="17"/>
        <v>2716.2749999999996</v>
      </c>
      <c r="J37" s="38">
        <f>'existing sewer'!F39</f>
        <v>100.96875</v>
      </c>
      <c r="K37" s="38">
        <f>'proposed sewer'!F39</f>
        <v>108.84374999999999</v>
      </c>
      <c r="L37" s="38">
        <f t="shared" si="18"/>
        <v>15.922826086956491</v>
      </c>
      <c r="M37" s="39">
        <f t="shared" si="19"/>
        <v>7.545653677211972E-2</v>
      </c>
      <c r="N37" s="38">
        <f>'proposed water'!H40-'existing water'!H40</f>
        <v>2221.1999999999935</v>
      </c>
      <c r="O37" s="38">
        <f>'proposed sewer'!H39-'existing sewer'!H39</f>
        <v>94.499999999999773</v>
      </c>
    </row>
    <row r="38" spans="1:15" x14ac:dyDescent="0.25">
      <c r="A38" t="s">
        <v>24</v>
      </c>
      <c r="B38">
        <v>0</v>
      </c>
      <c r="C38">
        <v>0</v>
      </c>
      <c r="D38" s="3">
        <f>'proposed water'!D41</f>
        <v>45</v>
      </c>
      <c r="E38" s="3">
        <f>'proposed water'!E41</f>
        <v>5.3249999999999993</v>
      </c>
      <c r="F38" s="3">
        <v>0</v>
      </c>
      <c r="G38" s="3">
        <f>'existing water'!F41</f>
        <v>0</v>
      </c>
      <c r="H38" s="3">
        <f>'proposed water'!F41</f>
        <v>0</v>
      </c>
      <c r="I38" s="3">
        <v>0</v>
      </c>
      <c r="J38" s="38">
        <f>'existing sewer'!F40</f>
        <v>0</v>
      </c>
      <c r="K38" s="38">
        <f>'proposed sewer'!F40</f>
        <v>0</v>
      </c>
      <c r="L38" s="38">
        <f t="shared" si="18"/>
        <v>0</v>
      </c>
      <c r="M38" s="39">
        <v>0</v>
      </c>
      <c r="N38" s="38">
        <f>'proposed water'!H41-'existing water'!H41</f>
        <v>0</v>
      </c>
      <c r="O38" s="38">
        <f>'proposed sewer'!H40-'existing sewer'!H40</f>
        <v>0</v>
      </c>
    </row>
    <row r="39" spans="1:15" x14ac:dyDescent="0.25">
      <c r="A39" t="s">
        <v>25</v>
      </c>
      <c r="B39">
        <v>25</v>
      </c>
      <c r="C39">
        <v>1323</v>
      </c>
      <c r="D39" s="3">
        <f>'proposed water'!D42</f>
        <v>69</v>
      </c>
      <c r="E39" s="3">
        <f>'proposed water'!E42</f>
        <v>5.3249999999999993</v>
      </c>
      <c r="F39" s="3">
        <f>I39*12</f>
        <v>105239.69999999998</v>
      </c>
      <c r="G39" s="3">
        <f>'existing water'!F42</f>
        <v>330.423</v>
      </c>
      <c r="H39" s="3">
        <f>'proposed water'!F42</f>
        <v>350.79899999999998</v>
      </c>
      <c r="I39" s="3">
        <f t="shared" ref="I39:I40" si="20">H39*B39</f>
        <v>8769.9749999999985</v>
      </c>
      <c r="J39" s="38">
        <f>'existing sewer'!F41</f>
        <v>532.875</v>
      </c>
      <c r="K39" s="38">
        <f>'proposed sewer'!F41</f>
        <v>565.5</v>
      </c>
      <c r="L39" s="38">
        <f t="shared" si="18"/>
        <v>53.000999999999976</v>
      </c>
      <c r="M39" s="39">
        <f t="shared" si="19"/>
        <v>6.139363232626506E-2</v>
      </c>
      <c r="N39" s="38">
        <f>'proposed water'!H42-'existing water'!H42</f>
        <v>6112.7999999999738</v>
      </c>
      <c r="O39" s="38">
        <f>'proposed sewer'!H41-'existing sewer'!H41</f>
        <v>1174.5</v>
      </c>
    </row>
    <row r="40" spans="1:15" x14ac:dyDescent="0.25">
      <c r="A40" t="s">
        <v>26</v>
      </c>
      <c r="B40">
        <v>1</v>
      </c>
      <c r="C40">
        <v>18</v>
      </c>
      <c r="D40" s="3">
        <f>'proposed water'!D43</f>
        <v>127.5</v>
      </c>
      <c r="E40" s="3">
        <f>'proposed water'!E43</f>
        <v>5.3249999999999993</v>
      </c>
      <c r="F40" s="3">
        <f>I40*12</f>
        <v>2680.2</v>
      </c>
      <c r="G40" s="3">
        <f>'existing water'!F43</f>
        <v>210.45</v>
      </c>
      <c r="H40" s="3">
        <f>'proposed water'!F43</f>
        <v>223.35</v>
      </c>
      <c r="I40" s="3">
        <f t="shared" si="20"/>
        <v>223.35</v>
      </c>
      <c r="J40" s="38">
        <f>'existing sewer'!F42</f>
        <v>0</v>
      </c>
      <c r="K40" s="38">
        <f>'proposed sewer'!F42</f>
        <v>0</v>
      </c>
      <c r="L40" s="38">
        <f t="shared" si="18"/>
        <v>12.900000000000006</v>
      </c>
      <c r="M40" s="39">
        <f t="shared" si="19"/>
        <v>6.1297220242337878E-2</v>
      </c>
      <c r="N40" s="38">
        <f>'proposed water'!H43-'existing water'!H43</f>
        <v>154.80000000000018</v>
      </c>
      <c r="O40" s="38">
        <f>'proposed sewer'!H42-'existing sewer'!H42</f>
        <v>0</v>
      </c>
    </row>
    <row r="41" spans="1:15" x14ac:dyDescent="0.25">
      <c r="A41" t="s">
        <v>27</v>
      </c>
      <c r="B41">
        <v>0</v>
      </c>
      <c r="C41">
        <v>0</v>
      </c>
      <c r="D41" s="3">
        <f>'proposed water'!D44</f>
        <v>226.95000000000002</v>
      </c>
      <c r="E41" s="3">
        <f>'proposed water'!E44</f>
        <v>5.33</v>
      </c>
      <c r="F41" s="3">
        <v>0</v>
      </c>
      <c r="G41" s="3">
        <f>'existing water'!F44</f>
        <v>0</v>
      </c>
      <c r="H41" s="3">
        <f>'proposed water'!F44</f>
        <v>0</v>
      </c>
      <c r="I41" s="3">
        <v>0</v>
      </c>
      <c r="J41" s="38">
        <f>'existing sewer'!F43</f>
        <v>0</v>
      </c>
      <c r="K41" s="38">
        <f>'proposed sewer'!F43</f>
        <v>0</v>
      </c>
      <c r="L41" s="38">
        <f t="shared" si="18"/>
        <v>0</v>
      </c>
      <c r="M41" s="39" t="e">
        <f t="shared" si="19"/>
        <v>#DIV/0!</v>
      </c>
      <c r="N41" s="38">
        <f>'proposed water'!H44-'existing water'!H44</f>
        <v>0</v>
      </c>
      <c r="O41" s="38">
        <f>'proposed sewer'!H43-'existing sewer'!H43</f>
        <v>0</v>
      </c>
    </row>
    <row r="42" spans="1:15" x14ac:dyDescent="0.25">
      <c r="A42" t="s">
        <v>28</v>
      </c>
      <c r="B42">
        <v>4</v>
      </c>
      <c r="C42">
        <v>14</v>
      </c>
      <c r="D42" s="3">
        <f>'proposed water'!D45</f>
        <v>453.90000000000003</v>
      </c>
      <c r="E42" s="3">
        <f>'proposed water'!E45</f>
        <v>5.33</v>
      </c>
      <c r="F42" s="3">
        <f>I42*12</f>
        <v>22682.640000000003</v>
      </c>
      <c r="G42" s="3">
        <f>'existing water'!F45</f>
        <v>444.78749999999997</v>
      </c>
      <c r="H42" s="3">
        <f>'proposed water'!F45</f>
        <v>472.55500000000006</v>
      </c>
      <c r="I42" s="3">
        <f t="shared" ref="I42:I43" si="21">H42*B42</f>
        <v>1890.2200000000003</v>
      </c>
      <c r="J42" s="38">
        <f>'existing sewer'!F46</f>
        <v>0</v>
      </c>
      <c r="K42" s="38">
        <f>'proposed sewer'!F46</f>
        <v>0</v>
      </c>
      <c r="L42" s="38">
        <f t="shared" si="18"/>
        <v>27.767500000000098</v>
      </c>
      <c r="M42" s="39">
        <f t="shared" si="19"/>
        <v>6.2428687856560944E-2</v>
      </c>
      <c r="N42" s="38">
        <f>'proposed water'!H45-'existing water'!H45</f>
        <v>1332.8400000000038</v>
      </c>
      <c r="O42" s="38"/>
    </row>
    <row r="43" spans="1:15" x14ac:dyDescent="0.25">
      <c r="A43" t="s">
        <v>250</v>
      </c>
      <c r="D43" s="3">
        <f>'proposed water'!D46</f>
        <v>794.32500000000005</v>
      </c>
      <c r="E43" s="3">
        <f>'proposed water'!E46</f>
        <v>5.33</v>
      </c>
      <c r="F43" s="3">
        <f>I43*12</f>
        <v>0</v>
      </c>
      <c r="G43" s="3">
        <f>'existing water'!F46</f>
        <v>772.72500000000002</v>
      </c>
      <c r="H43" s="3">
        <f>'proposed water'!F46</f>
        <v>820.97500000000002</v>
      </c>
      <c r="I43" s="3">
        <f t="shared" si="21"/>
        <v>0</v>
      </c>
      <c r="J43" s="38">
        <f>'existing sewer'!F47</f>
        <v>0</v>
      </c>
      <c r="K43" s="38">
        <f>'proposed sewer'!F47</f>
        <v>0</v>
      </c>
      <c r="L43" s="38">
        <f t="shared" ref="L43" si="22">(K43+H43)-(J43+G43)</f>
        <v>48.25</v>
      </c>
      <c r="M43" s="39">
        <f t="shared" si="19"/>
        <v>6.2441360121647416E-2</v>
      </c>
      <c r="N43" s="38">
        <f>'proposed water'!H46-'existing water'!H46</f>
        <v>579</v>
      </c>
      <c r="O43" s="38"/>
    </row>
    <row r="44" spans="1:15" s="6" customFormat="1" x14ac:dyDescent="0.25">
      <c r="A44" s="10" t="s">
        <v>69</v>
      </c>
      <c r="B44" s="6">
        <f>SUM(B36:B42)</f>
        <v>201</v>
      </c>
      <c r="D44" s="7"/>
      <c r="E44" s="7"/>
      <c r="F44" s="7">
        <f>SUM(F36:F42)</f>
        <v>258347.63999999998</v>
      </c>
      <c r="G44" s="7"/>
      <c r="H44" s="7"/>
      <c r="I44" s="7">
        <f>SUM(I36:I42)</f>
        <v>21528.969999999998</v>
      </c>
    </row>
    <row r="45" spans="1:15" x14ac:dyDescent="0.25">
      <c r="H45" s="3"/>
    </row>
    <row r="46" spans="1:15" x14ac:dyDescent="0.25">
      <c r="A46" t="s">
        <v>29</v>
      </c>
      <c r="B46">
        <v>0</v>
      </c>
      <c r="C46">
        <v>0</v>
      </c>
      <c r="D46" s="3">
        <f>'proposed water'!D49</f>
        <v>26.400000000000002</v>
      </c>
      <c r="E46" s="3">
        <f>'proposed water'!E49</f>
        <v>3.95</v>
      </c>
      <c r="F46" s="3">
        <v>0</v>
      </c>
      <c r="G46" s="3">
        <f>'existing water'!F49</f>
        <v>0</v>
      </c>
      <c r="H46" s="3">
        <f>'proposed water'!F49</f>
        <v>0</v>
      </c>
      <c r="I46" s="3">
        <v>0</v>
      </c>
      <c r="J46" s="38">
        <f>'existing sewer'!F48</f>
        <v>0</v>
      </c>
      <c r="K46" s="38">
        <f>'proposed sewer'!F48</f>
        <v>0</v>
      </c>
      <c r="L46" s="38">
        <f t="shared" ref="L46:L53" si="23">(K46+H46)-(J46+G46)</f>
        <v>0</v>
      </c>
      <c r="M46" s="39" t="e">
        <f t="shared" ref="M46" si="24">L46/(J46+G46)</f>
        <v>#DIV/0!</v>
      </c>
      <c r="N46" s="38">
        <f>'proposed water'!H49-'existing water'!H49</f>
        <v>0</v>
      </c>
      <c r="O46" s="38">
        <f>'proposed sewer'!H48-'existing sewer'!H48</f>
        <v>0</v>
      </c>
    </row>
    <row r="47" spans="1:15" x14ac:dyDescent="0.25">
      <c r="A47" t="s">
        <v>30</v>
      </c>
      <c r="B47">
        <v>0</v>
      </c>
      <c r="C47">
        <v>0</v>
      </c>
      <c r="D47" s="3">
        <f>'proposed water'!D50</f>
        <v>31.35</v>
      </c>
      <c r="E47" s="3">
        <f>'proposed water'!E50</f>
        <v>3.95</v>
      </c>
      <c r="F47" s="3">
        <v>0</v>
      </c>
      <c r="G47" s="3">
        <f>'existing water'!F50</f>
        <v>0</v>
      </c>
      <c r="H47" s="3">
        <f>'proposed water'!F50</f>
        <v>0</v>
      </c>
      <c r="I47" s="3">
        <v>0</v>
      </c>
      <c r="J47" s="38">
        <f>'existing sewer'!F49</f>
        <v>0</v>
      </c>
      <c r="K47" s="38">
        <f>'proposed sewer'!F49</f>
        <v>0</v>
      </c>
      <c r="L47" s="38">
        <f t="shared" si="23"/>
        <v>0</v>
      </c>
      <c r="M47" s="39">
        <v>0</v>
      </c>
      <c r="N47" s="38">
        <f>'proposed water'!H50-'existing water'!H50</f>
        <v>0</v>
      </c>
      <c r="O47" s="38">
        <f>'proposed sewer'!H49-'existing sewer'!H49</f>
        <v>0</v>
      </c>
    </row>
    <row r="48" spans="1:15" x14ac:dyDescent="0.25">
      <c r="A48" t="s">
        <v>31</v>
      </c>
      <c r="B48">
        <v>1</v>
      </c>
      <c r="C48">
        <v>5</v>
      </c>
      <c r="D48" s="3">
        <f>'proposed water'!D51</f>
        <v>49.500000000000007</v>
      </c>
      <c r="E48" s="3">
        <f>'proposed water'!E51</f>
        <v>3.95</v>
      </c>
      <c r="F48" s="3">
        <f>I48*12</f>
        <v>831</v>
      </c>
      <c r="G48" s="3">
        <f>'existing water'!F51</f>
        <v>63.300000000000004</v>
      </c>
      <c r="H48" s="3">
        <f>'proposed water'!F51</f>
        <v>69.25</v>
      </c>
      <c r="I48" s="3">
        <f t="shared" ref="I48:I50" si="25">H48*B48</f>
        <v>69.25</v>
      </c>
      <c r="J48" s="38">
        <f>'existing sewer'!F50</f>
        <v>0</v>
      </c>
      <c r="K48" s="38">
        <f>'proposed sewer'!F50</f>
        <v>0</v>
      </c>
      <c r="L48" s="38">
        <f t="shared" si="23"/>
        <v>5.9499999999999957</v>
      </c>
      <c r="M48" s="39">
        <f t="shared" ref="M48" si="26">L48/(J48+G48)</f>
        <v>9.3996840442337998E-2</v>
      </c>
      <c r="N48" s="38">
        <f>'proposed water'!H51-'existing water'!H51</f>
        <v>71.399999999999977</v>
      </c>
      <c r="O48" s="38">
        <f>'proposed sewer'!H50-'existing sewer'!H50</f>
        <v>0</v>
      </c>
    </row>
    <row r="49" spans="1:15" x14ac:dyDescent="0.25">
      <c r="A49" t="s">
        <v>32</v>
      </c>
      <c r="B49">
        <v>0</v>
      </c>
      <c r="C49">
        <v>0</v>
      </c>
      <c r="D49" s="3">
        <f>'proposed water'!D52</f>
        <v>75.900000000000006</v>
      </c>
      <c r="E49" s="3">
        <f>'proposed water'!E52</f>
        <v>3.95</v>
      </c>
      <c r="F49" s="3">
        <v>0</v>
      </c>
      <c r="G49" s="3">
        <f>'existing water'!F52</f>
        <v>0</v>
      </c>
      <c r="H49" s="3">
        <f>'proposed water'!F52</f>
        <v>0</v>
      </c>
      <c r="I49" s="3">
        <v>0</v>
      </c>
      <c r="J49" s="38">
        <f>'existing sewer'!F51</f>
        <v>0</v>
      </c>
      <c r="K49" s="38">
        <f>'proposed sewer'!F51</f>
        <v>0</v>
      </c>
      <c r="L49" s="38">
        <f t="shared" si="23"/>
        <v>0</v>
      </c>
      <c r="M49" s="39">
        <v>0</v>
      </c>
      <c r="N49" s="38">
        <f>'proposed water'!H52-'existing water'!H52</f>
        <v>0</v>
      </c>
      <c r="O49" s="38">
        <f>'proposed sewer'!H51-'existing sewer'!H51</f>
        <v>0</v>
      </c>
    </row>
    <row r="50" spans="1:15" x14ac:dyDescent="0.25">
      <c r="A50" t="s">
        <v>247</v>
      </c>
      <c r="B50">
        <v>1</v>
      </c>
      <c r="C50">
        <v>272</v>
      </c>
      <c r="D50" s="3">
        <f>'proposed water'!D53</f>
        <v>140.25</v>
      </c>
      <c r="E50" s="3">
        <f>'proposed water'!E53</f>
        <v>3.95</v>
      </c>
      <c r="F50" s="3">
        <f>I50*12</f>
        <v>14575.800000000001</v>
      </c>
      <c r="G50" s="3">
        <f>'existing water'!F53</f>
        <v>1152</v>
      </c>
      <c r="H50" s="3">
        <f>'proposed water'!F53</f>
        <v>1214.6500000000001</v>
      </c>
      <c r="I50" s="3">
        <f t="shared" si="25"/>
        <v>1214.6500000000001</v>
      </c>
      <c r="J50" s="38">
        <f>'existing sewer'!F52</f>
        <v>1440</v>
      </c>
      <c r="K50" s="38">
        <f>'proposed sewer'!F52</f>
        <v>1518.3125</v>
      </c>
      <c r="L50" s="38">
        <f t="shared" si="23"/>
        <v>140.96250000000009</v>
      </c>
      <c r="M50" s="39">
        <f t="shared" ref="M50" si="27">L50/(J50+G50)</f>
        <v>5.4383680555555591E-2</v>
      </c>
      <c r="N50" s="38">
        <f>'proposed water'!H53-'existing water'!H53</f>
        <v>751.80000000000109</v>
      </c>
      <c r="O50" s="38">
        <f>'proposed sewer'!H52-'existing sewer'!H52</f>
        <v>939.75</v>
      </c>
    </row>
    <row r="51" spans="1:15" x14ac:dyDescent="0.25">
      <c r="A51" t="s">
        <v>33</v>
      </c>
      <c r="B51">
        <v>0</v>
      </c>
      <c r="C51">
        <v>0</v>
      </c>
      <c r="D51" s="3">
        <f>'proposed water'!D54</f>
        <v>198.00000000000003</v>
      </c>
      <c r="E51" s="3">
        <f>'proposed water'!E54</f>
        <v>3.95</v>
      </c>
      <c r="F51" s="3">
        <v>0</v>
      </c>
      <c r="G51" s="3">
        <f>'existing water'!F54</f>
        <v>0</v>
      </c>
      <c r="H51" s="3">
        <f>'proposed water'!F54</f>
        <v>0</v>
      </c>
      <c r="I51" s="3">
        <v>0</v>
      </c>
      <c r="J51" s="38">
        <f>'existing sewer'!F53</f>
        <v>0</v>
      </c>
      <c r="K51" s="38">
        <f>'proposed sewer'!F53</f>
        <v>0</v>
      </c>
      <c r="L51" s="38">
        <f t="shared" si="23"/>
        <v>0</v>
      </c>
      <c r="M51" s="39">
        <v>0</v>
      </c>
      <c r="N51" s="38">
        <f>'proposed water'!H54-'existing water'!H54</f>
        <v>0</v>
      </c>
      <c r="O51" s="38">
        <f>'proposed sewer'!H53-'existing sewer'!H53</f>
        <v>0</v>
      </c>
    </row>
    <row r="52" spans="1:15" x14ac:dyDescent="0.25">
      <c r="A52" t="s">
        <v>34</v>
      </c>
      <c r="B52">
        <v>1</v>
      </c>
      <c r="C52">
        <v>2000</v>
      </c>
      <c r="D52" s="3">
        <f>'proposed water'!D55</f>
        <v>429.00000000000006</v>
      </c>
      <c r="E52" s="3">
        <f>'proposed water'!E55</f>
        <v>3.95</v>
      </c>
      <c r="F52" s="3">
        <f>I52*12</f>
        <v>99948</v>
      </c>
      <c r="G52" s="3">
        <f>'existing water'!F55</f>
        <v>7915.8</v>
      </c>
      <c r="H52" s="3">
        <f>'proposed water'!F55</f>
        <v>8329</v>
      </c>
      <c r="I52" s="3">
        <f t="shared" ref="I52:I53" si="28">H52*B52</f>
        <v>8329</v>
      </c>
      <c r="J52" s="38">
        <f>'existing sewer'!F54</f>
        <v>0</v>
      </c>
      <c r="K52" s="38">
        <f>'proposed sewer'!F54</f>
        <v>0</v>
      </c>
      <c r="L52" s="38">
        <f t="shared" si="23"/>
        <v>413.19999999999982</v>
      </c>
      <c r="M52" s="39">
        <v>0</v>
      </c>
      <c r="N52" s="38">
        <f>'proposed water'!H55-'existing water'!H55</f>
        <v>4958.3999999999942</v>
      </c>
      <c r="O52" s="38">
        <f>'proposed sewer'!H54-'existing sewer'!H54</f>
        <v>0</v>
      </c>
    </row>
    <row r="53" spans="1:15" x14ac:dyDescent="0.25">
      <c r="A53" t="s">
        <v>35</v>
      </c>
      <c r="B53">
        <v>3</v>
      </c>
      <c r="C53" s="4">
        <v>5395</v>
      </c>
      <c r="D53" s="3">
        <f>'proposed water'!D56</f>
        <v>759.00000000000011</v>
      </c>
      <c r="E53" s="3">
        <f>'proposed water'!E56</f>
        <v>3.95</v>
      </c>
      <c r="F53" s="3">
        <f>I53*12</f>
        <v>283047</v>
      </c>
      <c r="G53" s="3">
        <f>'existing water'!F56</f>
        <v>7486.25</v>
      </c>
      <c r="H53" s="3">
        <f>'proposed water'!F56</f>
        <v>7862.416666666667</v>
      </c>
      <c r="I53" s="3">
        <f t="shared" si="28"/>
        <v>23587.25</v>
      </c>
      <c r="J53" s="38">
        <f>'existing sewer'!F55</f>
        <v>9357.8125</v>
      </c>
      <c r="K53" s="38">
        <f>'proposed sewer'!F55</f>
        <v>9828.0208333333321</v>
      </c>
      <c r="L53" s="38">
        <f t="shared" si="23"/>
        <v>846.375</v>
      </c>
      <c r="M53" s="39">
        <v>0</v>
      </c>
      <c r="N53" s="38">
        <f>'proposed water'!H56-'existing water'!H56</f>
        <v>13542</v>
      </c>
      <c r="O53" s="38">
        <f>'proposed sewer'!H55-'existing sewer'!H55</f>
        <v>16927.499999999942</v>
      </c>
    </row>
    <row r="54" spans="1:15" s="5" customFormat="1" x14ac:dyDescent="0.25">
      <c r="A54" s="10" t="s">
        <v>69</v>
      </c>
      <c r="B54" s="5">
        <f>SUM(B46:B53)</f>
        <v>6</v>
      </c>
      <c r="D54" s="9"/>
      <c r="E54" s="9"/>
      <c r="F54" s="9">
        <f>SUM(F46:F53)</f>
        <v>398401.8</v>
      </c>
      <c r="G54" s="9"/>
      <c r="I54" s="9">
        <f>SUM(I46:I53)</f>
        <v>33200.15</v>
      </c>
      <c r="L54" s="42"/>
    </row>
    <row r="56" spans="1:15" s="35" customFormat="1" x14ac:dyDescent="0.25">
      <c r="A56" s="34" t="s">
        <v>92</v>
      </c>
      <c r="B56" s="35">
        <f>SUM(B54,B44,B34)</f>
        <v>4286</v>
      </c>
      <c r="D56" s="36"/>
      <c r="E56" s="36"/>
      <c r="F56" s="36">
        <f>SUM(F54,F44,F34)</f>
        <v>3074524.7399999998</v>
      </c>
      <c r="G56" s="36"/>
      <c r="I56" s="36">
        <f>SUM(I54,I44,I34)</f>
        <v>256210.39499999996</v>
      </c>
    </row>
    <row r="58" spans="1:15" s="17" customFormat="1" x14ac:dyDescent="0.25">
      <c r="A58" s="16" t="s">
        <v>86</v>
      </c>
      <c r="B58" s="17">
        <f>SUM(B56,B28)</f>
        <v>7021</v>
      </c>
      <c r="D58" s="24"/>
      <c r="E58" s="24"/>
      <c r="F58" s="24">
        <f>SUM(F56,F28)</f>
        <v>4700843.9399999995</v>
      </c>
      <c r="G58" s="24"/>
      <c r="I58" s="24">
        <f>SUM(I56,I28)</f>
        <v>391736.99499999994</v>
      </c>
      <c r="N58" s="18">
        <f>SUM(N3:N53)</f>
        <v>382970.63999999966</v>
      </c>
      <c r="O58" s="18">
        <f>SUM(O3:O53)</f>
        <v>176544.75000000023</v>
      </c>
    </row>
    <row r="61" spans="1:15" x14ac:dyDescent="0.25">
      <c r="D61" t="s">
        <v>102</v>
      </c>
      <c r="E61" s="38">
        <f>'proposed water'!H61-'existing water'!H61</f>
        <v>382391.63999999873</v>
      </c>
      <c r="M61" t="s">
        <v>240</v>
      </c>
      <c r="N61" s="38">
        <f>SUM(N58:O58)</f>
        <v>559515.3899999999</v>
      </c>
    </row>
    <row r="62" spans="1:15" x14ac:dyDescent="0.25">
      <c r="D62" t="s">
        <v>103</v>
      </c>
      <c r="E62" s="38">
        <f>'proposed sewer'!H60-'existing sewer'!H60</f>
        <v>176544.75</v>
      </c>
      <c r="N62" s="43"/>
    </row>
    <row r="63" spans="1:15" x14ac:dyDescent="0.25">
      <c r="D63" t="s">
        <v>104</v>
      </c>
      <c r="E63" s="38">
        <f>SUM(E61:E62)</f>
        <v>558936.38999999873</v>
      </c>
    </row>
    <row r="64" spans="1:15" x14ac:dyDescent="0.25">
      <c r="N64" s="38"/>
    </row>
    <row r="66" spans="7:8" x14ac:dyDescent="0.25">
      <c r="G66" s="3">
        <f>7000*12</f>
        <v>84000</v>
      </c>
    </row>
    <row r="67" spans="7:8" x14ac:dyDescent="0.25">
      <c r="H67" s="38">
        <f>775000/G66</f>
        <v>9.2261904761904763</v>
      </c>
    </row>
  </sheetData>
  <pageMargins left="0.7" right="0.7" top="0.75" bottom="0.75" header="0.3" footer="0.3"/>
  <pageSetup paperSize="3" scale="64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B1" zoomScale="85" zoomScaleNormal="85" workbookViewId="0">
      <selection activeCell="G4" sqref="G4"/>
    </sheetView>
  </sheetViews>
  <sheetFormatPr defaultRowHeight="15" x14ac:dyDescent="0.25"/>
  <cols>
    <col min="1" max="1" width="35.85546875" customWidth="1"/>
    <col min="2" max="2" width="20.85546875" customWidth="1"/>
    <col min="3" max="3" width="24.42578125" customWidth="1"/>
    <col min="4" max="4" width="16.28515625" customWidth="1"/>
    <col min="5" max="5" width="23.85546875" customWidth="1"/>
    <col min="6" max="6" width="21.28515625" customWidth="1"/>
    <col min="7" max="7" width="23.28515625" customWidth="1"/>
    <col min="8" max="8" width="15.42578125" customWidth="1"/>
    <col min="9" max="9" width="17" customWidth="1"/>
  </cols>
  <sheetData>
    <row r="1" spans="1:9" x14ac:dyDescent="0.25">
      <c r="A1" t="s">
        <v>109</v>
      </c>
    </row>
    <row r="2" spans="1:9" x14ac:dyDescent="0.25">
      <c r="A2" s="2" t="s">
        <v>36</v>
      </c>
      <c r="B2" s="2" t="s">
        <v>57</v>
      </c>
      <c r="C2" s="2" t="s">
        <v>58</v>
      </c>
      <c r="D2" s="2" t="s">
        <v>60</v>
      </c>
      <c r="E2" s="2" t="s">
        <v>61</v>
      </c>
      <c r="F2" s="2" t="s">
        <v>1</v>
      </c>
      <c r="G2" s="2" t="s">
        <v>64</v>
      </c>
      <c r="H2" s="2" t="s">
        <v>66</v>
      </c>
      <c r="I2" s="2" t="s">
        <v>68</v>
      </c>
    </row>
    <row r="3" spans="1:9" x14ac:dyDescent="0.25">
      <c r="C3" s="2" t="s">
        <v>59</v>
      </c>
      <c r="E3" s="2" t="s">
        <v>62</v>
      </c>
      <c r="F3" s="2" t="s">
        <v>63</v>
      </c>
      <c r="G3" s="2" t="s">
        <v>65</v>
      </c>
      <c r="H3" s="2" t="s">
        <v>67</v>
      </c>
      <c r="I3" s="2" t="s">
        <v>71</v>
      </c>
    </row>
    <row r="4" spans="1:9" x14ac:dyDescent="0.25">
      <c r="D4" s="38"/>
    </row>
    <row r="5" spans="1:9" x14ac:dyDescent="0.25">
      <c r="A5" t="s">
        <v>0</v>
      </c>
      <c r="B5">
        <v>2292</v>
      </c>
      <c r="C5" s="4">
        <v>12540</v>
      </c>
      <c r="D5" s="3">
        <v>14</v>
      </c>
      <c r="E5" s="3">
        <v>3.35</v>
      </c>
      <c r="F5" s="3">
        <f>(C5/B5*E5)+D5</f>
        <v>32.328534031413611</v>
      </c>
      <c r="G5" s="3">
        <f>F5*B5</f>
        <v>74097</v>
      </c>
      <c r="H5" s="3">
        <f>G5*12</f>
        <v>889164</v>
      </c>
      <c r="I5" s="3">
        <f>D5*B5</f>
        <v>32088</v>
      </c>
    </row>
    <row r="6" spans="1:9" x14ac:dyDescent="0.25">
      <c r="A6" t="s">
        <v>2</v>
      </c>
      <c r="B6">
        <v>21</v>
      </c>
      <c r="C6">
        <v>140</v>
      </c>
      <c r="D6" s="3">
        <v>17</v>
      </c>
      <c r="E6" s="3">
        <v>3.35</v>
      </c>
      <c r="F6" s="3">
        <f>(C6/B6*E6)+D6</f>
        <v>39.333333333333336</v>
      </c>
      <c r="G6" s="3">
        <f>F6*B6</f>
        <v>826</v>
      </c>
      <c r="H6" s="3">
        <f>G6*12</f>
        <v>9912</v>
      </c>
      <c r="I6" s="3">
        <f>D6*B6</f>
        <v>357</v>
      </c>
    </row>
    <row r="7" spans="1:9" x14ac:dyDescent="0.25">
      <c r="A7" s="3" t="s">
        <v>3</v>
      </c>
      <c r="B7">
        <v>1</v>
      </c>
      <c r="C7">
        <v>11</v>
      </c>
      <c r="D7" s="3">
        <v>27</v>
      </c>
      <c r="E7" s="3">
        <v>3.35</v>
      </c>
      <c r="F7" s="3">
        <f>(C7/B7*E7)+D7</f>
        <v>63.85</v>
      </c>
      <c r="G7" s="3">
        <f>F7*B7</f>
        <v>63.85</v>
      </c>
      <c r="H7" s="3">
        <f>G7*12</f>
        <v>766.2</v>
      </c>
      <c r="I7" s="3">
        <f>D7*B7</f>
        <v>27</v>
      </c>
    </row>
    <row r="8" spans="1:9" x14ac:dyDescent="0.25">
      <c r="A8" t="s">
        <v>4</v>
      </c>
      <c r="B8">
        <v>2</v>
      </c>
      <c r="C8">
        <v>13</v>
      </c>
      <c r="D8" s="3">
        <v>43</v>
      </c>
      <c r="E8" s="3">
        <v>3.35</v>
      </c>
      <c r="F8" s="3">
        <f>(C8/B8*E8)+D8</f>
        <v>64.775000000000006</v>
      </c>
      <c r="G8" s="3">
        <f>F8*B8</f>
        <v>129.55000000000001</v>
      </c>
      <c r="H8" s="3">
        <f>G8*12</f>
        <v>1554.6000000000001</v>
      </c>
      <c r="I8" s="3">
        <f>D8*B8</f>
        <v>86</v>
      </c>
    </row>
    <row r="9" spans="1:9" x14ac:dyDescent="0.25">
      <c r="A9" s="10" t="s">
        <v>69</v>
      </c>
      <c r="B9" s="5">
        <f>SUM(B5:B8)</f>
        <v>2316</v>
      </c>
      <c r="C9" s="1"/>
      <c r="D9" s="8"/>
      <c r="E9" s="8"/>
      <c r="F9" s="8">
        <v>19.02</v>
      </c>
      <c r="G9" s="9">
        <f>SUM(G5:G8)</f>
        <v>75116.400000000009</v>
      </c>
      <c r="H9" s="9">
        <f>SUM(H5:H8)</f>
        <v>901396.79999999993</v>
      </c>
      <c r="I9" s="9">
        <f>SUM(I5:I8)</f>
        <v>32558</v>
      </c>
    </row>
    <row r="10" spans="1:9" x14ac:dyDescent="0.25">
      <c r="A10" s="5"/>
      <c r="B10" s="5"/>
      <c r="C10" s="1"/>
      <c r="D10" s="8"/>
      <c r="E10" s="8"/>
      <c r="F10" s="8"/>
      <c r="G10" s="9"/>
      <c r="H10" s="9"/>
      <c r="I10" s="9"/>
    </row>
    <row r="11" spans="1:9" x14ac:dyDescent="0.25">
      <c r="A11" t="s">
        <v>5</v>
      </c>
      <c r="B11">
        <v>313</v>
      </c>
      <c r="C11">
        <v>1806</v>
      </c>
      <c r="D11" s="3">
        <v>14</v>
      </c>
      <c r="E11" s="3">
        <v>3.35</v>
      </c>
      <c r="F11" s="3">
        <f t="shared" ref="F11:F15" si="0">(C11/B11*E11)+D11</f>
        <v>33.329392971246008</v>
      </c>
      <c r="G11" s="3">
        <f t="shared" ref="G11:G15" si="1">F11*B11</f>
        <v>10432.1</v>
      </c>
      <c r="H11" s="3">
        <f t="shared" ref="H11:H15" si="2">G11*12</f>
        <v>125185.20000000001</v>
      </c>
      <c r="I11" s="3">
        <f t="shared" ref="I11:I15" si="3">D11*B11</f>
        <v>4382</v>
      </c>
    </row>
    <row r="12" spans="1:9" x14ac:dyDescent="0.25">
      <c r="A12" t="s">
        <v>6</v>
      </c>
      <c r="B12">
        <v>31</v>
      </c>
      <c r="C12">
        <v>303</v>
      </c>
      <c r="D12" s="3">
        <v>17</v>
      </c>
      <c r="E12" s="3">
        <v>3.35</v>
      </c>
      <c r="F12" s="3">
        <f t="shared" si="0"/>
        <v>49.743548387096773</v>
      </c>
      <c r="G12" s="3">
        <f t="shared" si="1"/>
        <v>1542.05</v>
      </c>
      <c r="H12" s="3">
        <f t="shared" si="2"/>
        <v>18504.599999999999</v>
      </c>
      <c r="I12" s="3">
        <f t="shared" si="3"/>
        <v>527</v>
      </c>
    </row>
    <row r="13" spans="1:9" x14ac:dyDescent="0.25">
      <c r="A13" t="s">
        <v>7</v>
      </c>
      <c r="B13">
        <v>2</v>
      </c>
      <c r="C13">
        <v>21</v>
      </c>
      <c r="D13" s="3">
        <v>27</v>
      </c>
      <c r="E13" s="3">
        <v>3.35</v>
      </c>
      <c r="F13" s="3">
        <f t="shared" si="0"/>
        <v>62.175000000000004</v>
      </c>
      <c r="G13" s="3">
        <f t="shared" si="1"/>
        <v>124.35000000000001</v>
      </c>
      <c r="H13" s="3">
        <f t="shared" si="2"/>
        <v>1492.2</v>
      </c>
      <c r="I13" s="3">
        <f t="shared" si="3"/>
        <v>54</v>
      </c>
    </row>
    <row r="14" spans="1:9" x14ac:dyDescent="0.25">
      <c r="A14" t="s">
        <v>8</v>
      </c>
      <c r="B14">
        <v>48</v>
      </c>
      <c r="C14">
        <v>2366</v>
      </c>
      <c r="D14" s="3">
        <v>43</v>
      </c>
      <c r="E14" s="3">
        <v>3.35</v>
      </c>
      <c r="F14" s="3">
        <f t="shared" si="0"/>
        <v>208.12708333333333</v>
      </c>
      <c r="G14" s="3">
        <f t="shared" si="1"/>
        <v>9990.1</v>
      </c>
      <c r="H14" s="3">
        <f t="shared" si="2"/>
        <v>119881.20000000001</v>
      </c>
      <c r="I14" s="3">
        <f t="shared" si="3"/>
        <v>2064</v>
      </c>
    </row>
    <row r="15" spans="1:9" x14ac:dyDescent="0.25">
      <c r="A15" t="s">
        <v>9</v>
      </c>
      <c r="B15">
        <v>1</v>
      </c>
      <c r="C15">
        <v>529</v>
      </c>
      <c r="D15" s="3">
        <v>80</v>
      </c>
      <c r="E15" s="3">
        <v>3.35</v>
      </c>
      <c r="F15" s="3">
        <f t="shared" si="0"/>
        <v>1852.15</v>
      </c>
      <c r="G15" s="3">
        <f t="shared" si="1"/>
        <v>1852.15</v>
      </c>
      <c r="H15" s="3">
        <f t="shared" si="2"/>
        <v>22225.800000000003</v>
      </c>
      <c r="I15" s="3">
        <f t="shared" si="3"/>
        <v>80</v>
      </c>
    </row>
    <row r="16" spans="1:9" x14ac:dyDescent="0.25">
      <c r="A16" s="10" t="s">
        <v>69</v>
      </c>
      <c r="B16" s="5">
        <f>SUM(B11:B15)</f>
        <v>395</v>
      </c>
      <c r="C16" s="1"/>
      <c r="D16" s="8"/>
      <c r="E16" s="8"/>
      <c r="F16" s="8"/>
      <c r="G16" s="9">
        <f>SUM(G11:G15)</f>
        <v>23940.75</v>
      </c>
      <c r="H16" s="9">
        <f>SUM(H11:H15)</f>
        <v>287289.00000000006</v>
      </c>
      <c r="I16" s="9">
        <f>SUM(I11:I15)</f>
        <v>7107</v>
      </c>
    </row>
    <row r="17" spans="1:9" x14ac:dyDescent="0.25">
      <c r="D17" s="3"/>
      <c r="E17" s="3"/>
      <c r="G17" s="3"/>
      <c r="H17" s="3"/>
      <c r="I17" s="3"/>
    </row>
    <row r="18" spans="1:9" x14ac:dyDescent="0.25">
      <c r="A18" t="s">
        <v>10</v>
      </c>
      <c r="B18">
        <v>2</v>
      </c>
      <c r="C18">
        <v>2</v>
      </c>
      <c r="D18" s="3">
        <v>14</v>
      </c>
      <c r="E18" s="3">
        <v>2.95</v>
      </c>
      <c r="F18" s="3">
        <f t="shared" ref="F18:F25" si="4">(C18/B18*E18)+D18</f>
        <v>16.95</v>
      </c>
      <c r="G18" s="3">
        <f t="shared" ref="G18:G25" si="5">F18*B18</f>
        <v>33.9</v>
      </c>
      <c r="H18" s="3">
        <f t="shared" ref="H18:H25" si="6">G18*12</f>
        <v>406.79999999999995</v>
      </c>
      <c r="I18" s="3">
        <f t="shared" ref="I18:I25" si="7">D18*B18</f>
        <v>28</v>
      </c>
    </row>
    <row r="19" spans="1:9" x14ac:dyDescent="0.25">
      <c r="A19" t="s">
        <v>51</v>
      </c>
      <c r="B19">
        <v>4</v>
      </c>
      <c r="C19">
        <v>11</v>
      </c>
      <c r="D19" s="3">
        <v>17</v>
      </c>
      <c r="E19" s="3">
        <v>2.95</v>
      </c>
      <c r="F19" s="3">
        <f t="shared" si="4"/>
        <v>25.112500000000001</v>
      </c>
      <c r="G19" s="3">
        <f t="shared" si="5"/>
        <v>100.45</v>
      </c>
      <c r="H19" s="3">
        <f t="shared" si="6"/>
        <v>1205.4000000000001</v>
      </c>
      <c r="I19" s="3">
        <f t="shared" si="7"/>
        <v>68</v>
      </c>
    </row>
    <row r="20" spans="1:9" x14ac:dyDescent="0.25">
      <c r="A20" t="s">
        <v>11</v>
      </c>
      <c r="B20">
        <v>0</v>
      </c>
      <c r="C20">
        <v>0</v>
      </c>
      <c r="D20" s="3">
        <v>27</v>
      </c>
      <c r="E20" s="3">
        <v>2.95</v>
      </c>
      <c r="F20" s="3">
        <v>0</v>
      </c>
      <c r="G20" s="3">
        <f t="shared" si="5"/>
        <v>0</v>
      </c>
      <c r="H20" s="3">
        <f t="shared" si="6"/>
        <v>0</v>
      </c>
      <c r="I20" s="3">
        <f t="shared" si="7"/>
        <v>0</v>
      </c>
    </row>
    <row r="21" spans="1:9" x14ac:dyDescent="0.25">
      <c r="A21" t="s">
        <v>12</v>
      </c>
      <c r="B21">
        <v>10</v>
      </c>
      <c r="C21">
        <v>2771</v>
      </c>
      <c r="D21" s="3">
        <v>43</v>
      </c>
      <c r="E21" s="3">
        <v>2.95</v>
      </c>
      <c r="F21" s="3">
        <f t="shared" si="4"/>
        <v>860.44500000000016</v>
      </c>
      <c r="G21" s="3">
        <f t="shared" si="5"/>
        <v>8604.4500000000007</v>
      </c>
      <c r="H21" s="3">
        <f t="shared" si="6"/>
        <v>103253.40000000001</v>
      </c>
      <c r="I21" s="3">
        <f t="shared" si="7"/>
        <v>430</v>
      </c>
    </row>
    <row r="22" spans="1:9" x14ac:dyDescent="0.25">
      <c r="A22" t="s">
        <v>13</v>
      </c>
      <c r="B22">
        <v>0</v>
      </c>
      <c r="C22">
        <v>0</v>
      </c>
      <c r="D22" s="3">
        <v>80</v>
      </c>
      <c r="E22" s="3">
        <v>2.95</v>
      </c>
      <c r="F22" s="3">
        <v>0</v>
      </c>
      <c r="G22" s="3">
        <f t="shared" si="5"/>
        <v>0</v>
      </c>
      <c r="H22" s="3">
        <f t="shared" si="6"/>
        <v>0</v>
      </c>
      <c r="I22" s="3">
        <f t="shared" si="7"/>
        <v>0</v>
      </c>
    </row>
    <row r="23" spans="1:9" x14ac:dyDescent="0.25">
      <c r="A23" t="s">
        <v>14</v>
      </c>
      <c r="B23">
        <v>0</v>
      </c>
      <c r="C23">
        <v>0</v>
      </c>
      <c r="D23" s="3">
        <v>110</v>
      </c>
      <c r="E23" s="3">
        <v>2.95</v>
      </c>
      <c r="F23" s="3">
        <v>0</v>
      </c>
      <c r="G23" s="3">
        <f t="shared" si="5"/>
        <v>0</v>
      </c>
      <c r="H23" s="3">
        <f t="shared" si="6"/>
        <v>0</v>
      </c>
      <c r="I23" s="3">
        <f t="shared" si="7"/>
        <v>0</v>
      </c>
    </row>
    <row r="24" spans="1:9" x14ac:dyDescent="0.25">
      <c r="A24" t="s">
        <v>15</v>
      </c>
      <c r="B24">
        <v>2</v>
      </c>
      <c r="C24">
        <v>10</v>
      </c>
      <c r="D24" s="3">
        <v>252</v>
      </c>
      <c r="E24" s="3">
        <v>2.95</v>
      </c>
      <c r="F24" s="3">
        <f t="shared" si="4"/>
        <v>266.75</v>
      </c>
      <c r="G24" s="3">
        <f t="shared" si="5"/>
        <v>533.5</v>
      </c>
      <c r="H24" s="3">
        <f t="shared" si="6"/>
        <v>6402</v>
      </c>
      <c r="I24" s="3">
        <f t="shared" si="7"/>
        <v>504</v>
      </c>
    </row>
    <row r="25" spans="1:9" x14ac:dyDescent="0.25">
      <c r="A25" t="s">
        <v>16</v>
      </c>
      <c r="B25">
        <v>1</v>
      </c>
      <c r="C25">
        <v>5357</v>
      </c>
      <c r="D25" s="3">
        <v>450</v>
      </c>
      <c r="E25" s="3">
        <v>2.95</v>
      </c>
      <c r="F25" s="3">
        <f t="shared" si="4"/>
        <v>16253.150000000001</v>
      </c>
      <c r="G25" s="3">
        <f t="shared" si="5"/>
        <v>16253.150000000001</v>
      </c>
      <c r="H25" s="3">
        <f t="shared" si="6"/>
        <v>195037.80000000002</v>
      </c>
      <c r="I25" s="3">
        <f t="shared" si="7"/>
        <v>450</v>
      </c>
    </row>
    <row r="26" spans="1:9" s="5" customFormat="1" x14ac:dyDescent="0.25">
      <c r="A26" s="10" t="s">
        <v>69</v>
      </c>
      <c r="B26" s="5">
        <f>SUM(B18:B25)</f>
        <v>19</v>
      </c>
      <c r="D26" s="9"/>
      <c r="E26" s="9"/>
      <c r="F26" s="9">
        <v>0</v>
      </c>
      <c r="G26" s="9">
        <f>SUM(G18:G25)</f>
        <v>25525.450000000004</v>
      </c>
      <c r="H26" s="9">
        <f>SUM(H18:H25)</f>
        <v>306305.40000000002</v>
      </c>
      <c r="I26" s="9">
        <f>SUM(I18:I25)</f>
        <v>1480</v>
      </c>
    </row>
    <row r="27" spans="1:9" x14ac:dyDescent="0.25">
      <c r="D27" s="3"/>
      <c r="E27" s="3"/>
      <c r="F27" s="3"/>
      <c r="G27" s="3"/>
      <c r="H27" s="3"/>
      <c r="I27" s="3"/>
    </row>
    <row r="28" spans="1:9" x14ac:dyDescent="0.25">
      <c r="A28" t="s">
        <v>17</v>
      </c>
      <c r="B28">
        <v>5</v>
      </c>
      <c r="C28">
        <v>40</v>
      </c>
      <c r="D28" s="3">
        <v>14</v>
      </c>
      <c r="E28" s="3">
        <v>3.35</v>
      </c>
      <c r="F28" s="3">
        <f t="shared" ref="F28" si="8">(C28/B28*E28)+D28</f>
        <v>40.799999999999997</v>
      </c>
      <c r="G28" s="3">
        <f t="shared" ref="G28" si="9">F28*B28</f>
        <v>204</v>
      </c>
      <c r="H28" s="3">
        <f t="shared" ref="H28" si="10">G28*12</f>
        <v>2448</v>
      </c>
      <c r="I28" s="3">
        <f t="shared" ref="I28" si="11">D28*B28</f>
        <v>70</v>
      </c>
    </row>
    <row r="29" spans="1:9" x14ac:dyDescent="0.25">
      <c r="D29" s="3"/>
      <c r="E29" s="3"/>
      <c r="F29" s="3"/>
      <c r="G29" s="3"/>
      <c r="H29" s="3"/>
      <c r="I29" s="3"/>
    </row>
    <row r="30" spans="1:9" s="28" customFormat="1" x14ac:dyDescent="0.25">
      <c r="A30" s="27" t="s">
        <v>70</v>
      </c>
      <c r="B30" s="28">
        <f>SUM(B28,B26,B16,B9)</f>
        <v>2735</v>
      </c>
      <c r="D30" s="29"/>
      <c r="E30" s="29"/>
      <c r="F30" s="29"/>
      <c r="G30" s="29">
        <f>SUM(G28,G26,G16,G9)</f>
        <v>124786.6</v>
      </c>
      <c r="H30" s="29">
        <f>SUM(H28,H26,H16,H9)</f>
        <v>1497439.2000000002</v>
      </c>
      <c r="I30" s="29">
        <f>SUM(I28,I26,I16,I9)</f>
        <v>41215</v>
      </c>
    </row>
    <row r="31" spans="1:9" s="28" customFormat="1" x14ac:dyDescent="0.25">
      <c r="A31" s="27"/>
      <c r="D31" s="29"/>
      <c r="E31" s="29"/>
      <c r="F31" s="29"/>
      <c r="G31" s="29"/>
      <c r="H31" s="29"/>
      <c r="I31" s="29"/>
    </row>
    <row r="32" spans="1:9" x14ac:dyDescent="0.25">
      <c r="D32" s="3"/>
      <c r="E32" s="3"/>
      <c r="F32" s="3"/>
      <c r="G32" s="3"/>
      <c r="H32" s="3"/>
      <c r="I32" s="3"/>
    </row>
    <row r="33" spans="1:9" x14ac:dyDescent="0.25">
      <c r="A33" t="s">
        <v>18</v>
      </c>
      <c r="B33">
        <v>3858</v>
      </c>
      <c r="C33">
        <v>17171</v>
      </c>
      <c r="D33" s="3">
        <v>21</v>
      </c>
      <c r="E33" s="3">
        <f>1.5*E5</f>
        <v>5.0250000000000004</v>
      </c>
      <c r="F33" s="3">
        <f t="shared" ref="F33:F36" si="12">(C33/B33*E33)+D33</f>
        <v>43.365027216174184</v>
      </c>
      <c r="G33" s="3">
        <f t="shared" ref="G33:G36" si="13">F33*B33</f>
        <v>167302.27499999999</v>
      </c>
      <c r="H33" s="3">
        <f t="shared" ref="H33:H36" si="14">G33*12</f>
        <v>2007627.2999999998</v>
      </c>
      <c r="I33" s="3">
        <f t="shared" ref="I33:I36" si="15">D33*B33</f>
        <v>81018</v>
      </c>
    </row>
    <row r="34" spans="1:9" x14ac:dyDescent="0.25">
      <c r="A34" t="s">
        <v>19</v>
      </c>
      <c r="B34">
        <v>208</v>
      </c>
      <c r="C34">
        <v>1562</v>
      </c>
      <c r="D34" s="3">
        <v>25.5</v>
      </c>
      <c r="E34" s="3">
        <f t="shared" ref="E34:E36" si="16">1.5*E6</f>
        <v>5.0250000000000004</v>
      </c>
      <c r="F34" s="3">
        <f t="shared" si="12"/>
        <v>63.235817307692315</v>
      </c>
      <c r="G34" s="3">
        <f t="shared" si="13"/>
        <v>13153.050000000001</v>
      </c>
      <c r="H34" s="3">
        <f t="shared" si="14"/>
        <v>157836.6</v>
      </c>
      <c r="I34" s="3">
        <f t="shared" si="15"/>
        <v>5304</v>
      </c>
    </row>
    <row r="35" spans="1:9" x14ac:dyDescent="0.25">
      <c r="A35" t="s">
        <v>20</v>
      </c>
      <c r="B35">
        <v>0</v>
      </c>
      <c r="C35">
        <v>0</v>
      </c>
      <c r="D35" s="3">
        <v>40.5</v>
      </c>
      <c r="E35" s="3">
        <f t="shared" si="16"/>
        <v>5.0250000000000004</v>
      </c>
      <c r="F35" s="3">
        <v>0</v>
      </c>
      <c r="G35" s="3">
        <f t="shared" si="13"/>
        <v>0</v>
      </c>
      <c r="H35" s="3">
        <f t="shared" si="14"/>
        <v>0</v>
      </c>
      <c r="I35" s="3">
        <f t="shared" si="15"/>
        <v>0</v>
      </c>
    </row>
    <row r="36" spans="1:9" x14ac:dyDescent="0.25">
      <c r="A36" t="s">
        <v>21</v>
      </c>
      <c r="B36">
        <v>13</v>
      </c>
      <c r="C36">
        <v>434</v>
      </c>
      <c r="D36" s="3">
        <v>64.5</v>
      </c>
      <c r="E36" s="3">
        <f t="shared" si="16"/>
        <v>5.0250000000000004</v>
      </c>
      <c r="F36" s="3">
        <f t="shared" si="12"/>
        <v>232.25769230769234</v>
      </c>
      <c r="G36" s="3">
        <f t="shared" si="13"/>
        <v>3019.3500000000004</v>
      </c>
      <c r="H36" s="3">
        <f t="shared" si="14"/>
        <v>36232.200000000004</v>
      </c>
      <c r="I36" s="3">
        <f t="shared" si="15"/>
        <v>838.5</v>
      </c>
    </row>
    <row r="37" spans="1:9" s="5" customFormat="1" x14ac:dyDescent="0.25">
      <c r="A37" s="10" t="s">
        <v>69</v>
      </c>
      <c r="B37" s="5">
        <f>SUM(B33:B36)</f>
        <v>4079</v>
      </c>
      <c r="D37" s="9"/>
      <c r="E37" s="9"/>
      <c r="F37" s="9"/>
      <c r="G37" s="9">
        <f>SUM(G33:G36)</f>
        <v>183474.67499999999</v>
      </c>
      <c r="H37" s="9">
        <f>SUM(H33:H36)</f>
        <v>2201696.1</v>
      </c>
      <c r="I37" s="9">
        <f>SUM(I33:I36)</f>
        <v>87160.5</v>
      </c>
    </row>
    <row r="38" spans="1:9" x14ac:dyDescent="0.25">
      <c r="D38" s="3"/>
      <c r="E38" s="3"/>
      <c r="F38" s="3"/>
      <c r="G38" s="3"/>
      <c r="H38" s="3"/>
      <c r="I38" s="3"/>
    </row>
    <row r="39" spans="1:9" x14ac:dyDescent="0.25">
      <c r="A39" t="s">
        <v>22</v>
      </c>
      <c r="B39">
        <v>148</v>
      </c>
      <c r="C39">
        <v>822</v>
      </c>
      <c r="D39" s="3">
        <v>21</v>
      </c>
      <c r="E39" s="3">
        <f>1.5*E11</f>
        <v>5.0250000000000004</v>
      </c>
      <c r="F39" s="3">
        <f t="shared" ref="F39:F46" si="17">(C39/B39*E39)+D39</f>
        <v>48.909121621621622</v>
      </c>
      <c r="G39" s="3">
        <f t="shared" ref="G39:G46" si="18">F39*B39</f>
        <v>7238.55</v>
      </c>
      <c r="H39" s="3">
        <f t="shared" ref="H39:H46" si="19">G39*12</f>
        <v>86862.6</v>
      </c>
      <c r="I39" s="3">
        <f t="shared" ref="I39:I46" si="20">D39*B39</f>
        <v>3108</v>
      </c>
    </row>
    <row r="40" spans="1:9" x14ac:dyDescent="0.25">
      <c r="A40" t="s">
        <v>23</v>
      </c>
      <c r="B40">
        <v>23</v>
      </c>
      <c r="C40">
        <v>387</v>
      </c>
      <c r="D40" s="3">
        <v>25.5</v>
      </c>
      <c r="E40" s="3">
        <f t="shared" ref="E40:E43" si="21">1.5*E12</f>
        <v>5.0250000000000004</v>
      </c>
      <c r="F40" s="3">
        <f t="shared" si="17"/>
        <v>110.05108695652174</v>
      </c>
      <c r="G40" s="3">
        <f t="shared" si="18"/>
        <v>2531.1750000000002</v>
      </c>
      <c r="H40" s="3">
        <f t="shared" si="19"/>
        <v>30374.100000000002</v>
      </c>
      <c r="I40" s="3">
        <f t="shared" si="20"/>
        <v>586.5</v>
      </c>
    </row>
    <row r="41" spans="1:9" x14ac:dyDescent="0.25">
      <c r="A41" t="s">
        <v>24</v>
      </c>
      <c r="B41">
        <v>0</v>
      </c>
      <c r="C41">
        <v>0</v>
      </c>
      <c r="D41" s="3">
        <v>40.5</v>
      </c>
      <c r="E41" s="3">
        <f t="shared" si="21"/>
        <v>5.0250000000000004</v>
      </c>
      <c r="F41" s="3">
        <v>0</v>
      </c>
      <c r="G41" s="3">
        <f t="shared" si="18"/>
        <v>0</v>
      </c>
      <c r="H41" s="3">
        <f t="shared" si="19"/>
        <v>0</v>
      </c>
      <c r="I41" s="3">
        <f t="shared" si="20"/>
        <v>0</v>
      </c>
    </row>
    <row r="42" spans="1:9" x14ac:dyDescent="0.25">
      <c r="A42" t="s">
        <v>25</v>
      </c>
      <c r="B42">
        <v>25</v>
      </c>
      <c r="C42">
        <v>1323</v>
      </c>
      <c r="D42" s="3">
        <v>64.5</v>
      </c>
      <c r="E42" s="3">
        <f t="shared" si="21"/>
        <v>5.0250000000000004</v>
      </c>
      <c r="F42" s="3">
        <f t="shared" si="17"/>
        <v>330.423</v>
      </c>
      <c r="G42" s="3">
        <f t="shared" si="18"/>
        <v>8260.5750000000007</v>
      </c>
      <c r="H42" s="3">
        <f t="shared" si="19"/>
        <v>99126.900000000009</v>
      </c>
      <c r="I42" s="3">
        <f t="shared" si="20"/>
        <v>1612.5</v>
      </c>
    </row>
    <row r="43" spans="1:9" x14ac:dyDescent="0.25">
      <c r="A43" t="s">
        <v>26</v>
      </c>
      <c r="B43">
        <v>1</v>
      </c>
      <c r="C43">
        <v>18</v>
      </c>
      <c r="D43" s="3">
        <v>120</v>
      </c>
      <c r="E43" s="3">
        <f t="shared" si="21"/>
        <v>5.0250000000000004</v>
      </c>
      <c r="F43" s="3">
        <f t="shared" si="17"/>
        <v>210.45</v>
      </c>
      <c r="G43" s="3">
        <f t="shared" si="18"/>
        <v>210.45</v>
      </c>
      <c r="H43" s="3">
        <f t="shared" si="19"/>
        <v>2525.3999999999996</v>
      </c>
      <c r="I43" s="3">
        <f t="shared" si="20"/>
        <v>120</v>
      </c>
    </row>
    <row r="44" spans="1:9" x14ac:dyDescent="0.25">
      <c r="A44" t="s">
        <v>27</v>
      </c>
      <c r="B44">
        <v>0</v>
      </c>
      <c r="C44">
        <v>0</v>
      </c>
      <c r="D44" s="3">
        <v>213.6</v>
      </c>
      <c r="E44" s="23">
        <f>1.5*E15</f>
        <v>5.0250000000000004</v>
      </c>
      <c r="F44" s="3">
        <v>0</v>
      </c>
      <c r="G44" s="3">
        <f t="shared" si="18"/>
        <v>0</v>
      </c>
      <c r="H44" s="3">
        <f t="shared" si="19"/>
        <v>0</v>
      </c>
      <c r="I44" s="3">
        <f t="shared" si="20"/>
        <v>0</v>
      </c>
    </row>
    <row r="45" spans="1:9" x14ac:dyDescent="0.25">
      <c r="A45" t="s">
        <v>28</v>
      </c>
      <c r="B45">
        <v>4</v>
      </c>
      <c r="C45">
        <v>14</v>
      </c>
      <c r="D45" s="3">
        <v>427.2</v>
      </c>
      <c r="E45" s="23">
        <f>1.5*E15</f>
        <v>5.0250000000000004</v>
      </c>
      <c r="F45" s="3">
        <f t="shared" si="17"/>
        <v>444.78749999999997</v>
      </c>
      <c r="G45" s="3">
        <f t="shared" si="18"/>
        <v>1779.1499999999999</v>
      </c>
      <c r="H45" s="3">
        <f t="shared" si="19"/>
        <v>21349.8</v>
      </c>
      <c r="I45" s="3">
        <f t="shared" si="20"/>
        <v>1708.8</v>
      </c>
    </row>
    <row r="46" spans="1:9" x14ac:dyDescent="0.25">
      <c r="A46" t="s">
        <v>248</v>
      </c>
      <c r="B46">
        <v>1</v>
      </c>
      <c r="C46">
        <v>5</v>
      </c>
      <c r="D46" s="3">
        <v>747.6</v>
      </c>
      <c r="E46" s="23">
        <f>1.5*E15</f>
        <v>5.0250000000000004</v>
      </c>
      <c r="F46" s="3">
        <f t="shared" si="17"/>
        <v>772.72500000000002</v>
      </c>
      <c r="G46" s="3">
        <f t="shared" si="18"/>
        <v>772.72500000000002</v>
      </c>
      <c r="H46" s="3">
        <f t="shared" si="19"/>
        <v>9272.7000000000007</v>
      </c>
      <c r="I46" s="3">
        <f t="shared" si="20"/>
        <v>747.6</v>
      </c>
    </row>
    <row r="47" spans="1:9" s="6" customFormat="1" x14ac:dyDescent="0.25">
      <c r="A47" s="11" t="s">
        <v>69</v>
      </c>
      <c r="B47" s="6">
        <v>201</v>
      </c>
      <c r="D47" s="7"/>
      <c r="E47" s="7"/>
      <c r="F47" s="7"/>
      <c r="G47" s="7">
        <f>SUM(G39:G45)</f>
        <v>20019.900000000005</v>
      </c>
      <c r="H47" s="7">
        <f>SUM(H39:H45)</f>
        <v>240238.80000000002</v>
      </c>
      <c r="I47" s="7">
        <f>SUM(I39:I45)</f>
        <v>7135.8</v>
      </c>
    </row>
    <row r="48" spans="1:9" x14ac:dyDescent="0.25">
      <c r="D48" s="3"/>
      <c r="E48" s="3"/>
      <c r="F48" s="3"/>
      <c r="G48" s="3"/>
      <c r="H48" s="3"/>
      <c r="I48" s="3"/>
    </row>
    <row r="49" spans="1:9" x14ac:dyDescent="0.25">
      <c r="A49" t="s">
        <v>29</v>
      </c>
      <c r="B49">
        <v>0</v>
      </c>
      <c r="C49">
        <v>0</v>
      </c>
      <c r="D49" s="3">
        <v>23.1</v>
      </c>
      <c r="E49" s="3">
        <v>3.75</v>
      </c>
      <c r="F49" s="3">
        <v>0</v>
      </c>
      <c r="G49" s="3">
        <f t="shared" ref="G49:G56" si="22">F49*B49</f>
        <v>0</v>
      </c>
      <c r="H49" s="3">
        <f t="shared" ref="H49:H56" si="23">G49*12</f>
        <v>0</v>
      </c>
      <c r="I49" s="3">
        <f t="shared" ref="I49:I56" si="24">D49*B49</f>
        <v>0</v>
      </c>
    </row>
    <row r="50" spans="1:9" x14ac:dyDescent="0.25">
      <c r="A50" t="s">
        <v>30</v>
      </c>
      <c r="B50">
        <v>0</v>
      </c>
      <c r="C50">
        <v>0</v>
      </c>
      <c r="D50" s="3">
        <v>28.05</v>
      </c>
      <c r="E50" s="3">
        <v>3.75</v>
      </c>
      <c r="F50" s="3">
        <v>0</v>
      </c>
      <c r="G50" s="3">
        <f t="shared" si="22"/>
        <v>0</v>
      </c>
      <c r="H50" s="3">
        <f t="shared" si="23"/>
        <v>0</v>
      </c>
      <c r="I50" s="3">
        <f t="shared" si="24"/>
        <v>0</v>
      </c>
    </row>
    <row r="51" spans="1:9" x14ac:dyDescent="0.25">
      <c r="A51" t="s">
        <v>31</v>
      </c>
      <c r="B51">
        <v>1</v>
      </c>
      <c r="C51">
        <v>5</v>
      </c>
      <c r="D51" s="3">
        <v>44.550000000000004</v>
      </c>
      <c r="E51" s="3">
        <v>3.75</v>
      </c>
      <c r="F51" s="3">
        <f t="shared" ref="F51:F56" si="25">(C51/B51*E51)+D51</f>
        <v>63.300000000000004</v>
      </c>
      <c r="G51" s="3">
        <f t="shared" si="22"/>
        <v>63.300000000000004</v>
      </c>
      <c r="H51" s="3">
        <f t="shared" si="23"/>
        <v>759.6</v>
      </c>
      <c r="I51" s="3">
        <f t="shared" si="24"/>
        <v>44.550000000000004</v>
      </c>
    </row>
    <row r="52" spans="1:9" x14ac:dyDescent="0.25">
      <c r="A52" t="s">
        <v>32</v>
      </c>
      <c r="B52">
        <v>0</v>
      </c>
      <c r="C52">
        <v>0</v>
      </c>
      <c r="D52" s="3">
        <v>70.95</v>
      </c>
      <c r="E52" s="3">
        <v>3.75</v>
      </c>
      <c r="F52" s="3">
        <v>0</v>
      </c>
      <c r="G52" s="3">
        <f t="shared" si="22"/>
        <v>0</v>
      </c>
      <c r="H52" s="3">
        <f t="shared" si="23"/>
        <v>0</v>
      </c>
      <c r="I52" s="3">
        <f t="shared" si="24"/>
        <v>0</v>
      </c>
    </row>
    <row r="53" spans="1:9" x14ac:dyDescent="0.25">
      <c r="A53" t="s">
        <v>247</v>
      </c>
      <c r="B53">
        <v>1</v>
      </c>
      <c r="C53">
        <v>272</v>
      </c>
      <c r="D53" s="3">
        <v>132</v>
      </c>
      <c r="E53" s="3">
        <v>3.75</v>
      </c>
      <c r="F53" s="3">
        <f t="shared" si="25"/>
        <v>1152</v>
      </c>
      <c r="G53" s="3">
        <f t="shared" si="22"/>
        <v>1152</v>
      </c>
      <c r="H53" s="3">
        <f t="shared" si="23"/>
        <v>13824</v>
      </c>
      <c r="I53" s="3">
        <f t="shared" si="24"/>
        <v>132</v>
      </c>
    </row>
    <row r="54" spans="1:9" x14ac:dyDescent="0.25">
      <c r="A54" t="s">
        <v>33</v>
      </c>
      <c r="B54">
        <v>0</v>
      </c>
      <c r="C54">
        <v>0</v>
      </c>
      <c r="D54" s="3">
        <v>181.50000000000003</v>
      </c>
      <c r="E54" s="3">
        <v>3.75</v>
      </c>
      <c r="F54" s="3">
        <v>0</v>
      </c>
      <c r="G54" s="3">
        <f t="shared" si="22"/>
        <v>0</v>
      </c>
      <c r="H54" s="3">
        <f t="shared" si="23"/>
        <v>0</v>
      </c>
      <c r="I54" s="3">
        <f t="shared" si="24"/>
        <v>0</v>
      </c>
    </row>
    <row r="55" spans="1:9" x14ac:dyDescent="0.25">
      <c r="A55" t="s">
        <v>34</v>
      </c>
      <c r="B55">
        <v>1</v>
      </c>
      <c r="C55">
        <v>2000</v>
      </c>
      <c r="D55" s="3">
        <v>415.8</v>
      </c>
      <c r="E55" s="3">
        <v>3.75</v>
      </c>
      <c r="F55" s="3">
        <f t="shared" si="25"/>
        <v>7915.8</v>
      </c>
      <c r="G55" s="3">
        <f t="shared" si="22"/>
        <v>7915.8</v>
      </c>
      <c r="H55" s="3">
        <f t="shared" si="23"/>
        <v>94989.6</v>
      </c>
      <c r="I55" s="3">
        <f t="shared" si="24"/>
        <v>415.8</v>
      </c>
    </row>
    <row r="56" spans="1:9" x14ac:dyDescent="0.25">
      <c r="A56" t="s">
        <v>35</v>
      </c>
      <c r="B56">
        <v>3</v>
      </c>
      <c r="C56">
        <v>5395</v>
      </c>
      <c r="D56" s="3">
        <v>742.50000000000011</v>
      </c>
      <c r="E56" s="3">
        <v>3.75</v>
      </c>
      <c r="F56" s="3">
        <f t="shared" si="25"/>
        <v>7486.25</v>
      </c>
      <c r="G56" s="3">
        <f t="shared" si="22"/>
        <v>22458.75</v>
      </c>
      <c r="H56" s="3">
        <f t="shared" si="23"/>
        <v>269505</v>
      </c>
      <c r="I56" s="3">
        <f t="shared" si="24"/>
        <v>2227.5000000000005</v>
      </c>
    </row>
    <row r="57" spans="1:9" s="6" customFormat="1" x14ac:dyDescent="0.25">
      <c r="A57" s="11" t="s">
        <v>69</v>
      </c>
      <c r="B57" s="6">
        <f>SUM(B49:B56)</f>
        <v>6</v>
      </c>
      <c r="D57" s="7"/>
      <c r="E57" s="7"/>
      <c r="F57" s="7"/>
      <c r="G57" s="7">
        <f>SUM(G49:G56)</f>
        <v>31589.85</v>
      </c>
      <c r="H57" s="7">
        <f>SUM(H49:H56)</f>
        <v>379078.2</v>
      </c>
      <c r="I57" s="7">
        <f>SUM(I49:I56)</f>
        <v>2819.8500000000004</v>
      </c>
    </row>
    <row r="58" spans="1:9" x14ac:dyDescent="0.25">
      <c r="D58" s="3"/>
      <c r="E58" s="3"/>
      <c r="F58" s="3"/>
      <c r="G58" s="3"/>
      <c r="H58" s="3"/>
      <c r="I58" s="3"/>
    </row>
    <row r="59" spans="1:9" s="30" customFormat="1" x14ac:dyDescent="0.25">
      <c r="A59" s="27" t="s">
        <v>72</v>
      </c>
      <c r="B59" s="30">
        <f>SUM(B57,B47,B37,)</f>
        <v>4286</v>
      </c>
      <c r="D59" s="31"/>
      <c r="E59" s="31"/>
      <c r="F59" s="31"/>
      <c r="G59" s="31">
        <f>SUM(G57,G47,G37)</f>
        <v>235084.42499999999</v>
      </c>
      <c r="H59" s="31">
        <f>SUM(H57,H47,H37)</f>
        <v>2821013.1</v>
      </c>
      <c r="I59" s="31">
        <f>SUM(I57,I47,I37)</f>
        <v>97116.15</v>
      </c>
    </row>
    <row r="60" spans="1:9" x14ac:dyDescent="0.25">
      <c r="D60" s="3"/>
      <c r="E60" s="3"/>
      <c r="F60" s="3"/>
      <c r="G60" s="3"/>
      <c r="H60" s="3"/>
      <c r="I60" s="3"/>
    </row>
    <row r="61" spans="1:9" s="15" customFormat="1" ht="17.25" customHeight="1" x14ac:dyDescent="0.25">
      <c r="A61" s="16" t="s">
        <v>86</v>
      </c>
      <c r="B61" s="13">
        <f>SUM(B59,B30)</f>
        <v>7021</v>
      </c>
      <c r="C61" s="13"/>
      <c r="D61" s="13"/>
      <c r="E61" s="14"/>
      <c r="F61" s="14"/>
      <c r="G61" s="14">
        <f>SUM(G59,G30)</f>
        <v>359871.02500000002</v>
      </c>
      <c r="H61" s="14">
        <f>SUM(H59,H30)</f>
        <v>4318452.3000000007</v>
      </c>
      <c r="I61" s="14">
        <f>SUM(I59,I30)</f>
        <v>138331.15</v>
      </c>
    </row>
    <row r="62" spans="1:9" x14ac:dyDescent="0.25">
      <c r="F62" s="3"/>
    </row>
  </sheetData>
  <pageMargins left="0.7" right="0.7" top="0.75" bottom="0.75" header="0.3" footer="0.3"/>
  <pageSetup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1"/>
  <sheetViews>
    <sheetView topLeftCell="A10" workbookViewId="0">
      <selection activeCell="M30" sqref="M30"/>
    </sheetView>
  </sheetViews>
  <sheetFormatPr defaultRowHeight="15" x14ac:dyDescent="0.25"/>
  <cols>
    <col min="1" max="1" width="33" customWidth="1"/>
    <col min="2" max="2" width="10" customWidth="1"/>
    <col min="3" max="3" width="13.85546875" bestFit="1" customWidth="1"/>
    <col min="4" max="4" width="11.7109375" style="65" bestFit="1" customWidth="1"/>
    <col min="5" max="5" width="14.42578125" customWidth="1"/>
    <col min="6" max="6" width="11.7109375" style="68" bestFit="1" customWidth="1"/>
    <col min="7" max="7" width="14.85546875" bestFit="1" customWidth="1"/>
    <col min="8" max="9" width="15.28515625" bestFit="1" customWidth="1"/>
    <col min="11" max="11" width="14.28515625" bestFit="1" customWidth="1"/>
    <col min="13" max="13" width="12.5703125" bestFit="1" customWidth="1"/>
  </cols>
  <sheetData>
    <row r="1" spans="1:9" x14ac:dyDescent="0.25">
      <c r="B1" t="s">
        <v>117</v>
      </c>
      <c r="C1" s="2" t="s">
        <v>118</v>
      </c>
      <c r="D1" s="64" t="s">
        <v>112</v>
      </c>
      <c r="E1" s="2" t="s">
        <v>112</v>
      </c>
      <c r="F1" s="67" t="s">
        <v>113</v>
      </c>
      <c r="G1" s="44" t="s">
        <v>113</v>
      </c>
      <c r="H1" s="62" t="s">
        <v>244</v>
      </c>
      <c r="I1" s="62" t="s">
        <v>246</v>
      </c>
    </row>
    <row r="2" spans="1:9" x14ac:dyDescent="0.25">
      <c r="A2" s="2" t="s">
        <v>36</v>
      </c>
      <c r="B2" s="2" t="s">
        <v>81</v>
      </c>
      <c r="C2" s="2" t="s">
        <v>119</v>
      </c>
      <c r="D2" s="64" t="s">
        <v>60</v>
      </c>
      <c r="E2" s="2" t="s">
        <v>121</v>
      </c>
      <c r="F2" s="67" t="s">
        <v>60</v>
      </c>
      <c r="G2" s="44" t="s">
        <v>121</v>
      </c>
      <c r="H2" s="62" t="s">
        <v>245</v>
      </c>
      <c r="I2" s="62" t="s">
        <v>245</v>
      </c>
    </row>
    <row r="3" spans="1:9" x14ac:dyDescent="0.25">
      <c r="C3" s="2" t="s">
        <v>120</v>
      </c>
      <c r="E3" s="2" t="s">
        <v>241</v>
      </c>
      <c r="G3" s="44" t="s">
        <v>242</v>
      </c>
      <c r="H3" s="62"/>
      <c r="I3" s="62"/>
    </row>
    <row r="4" spans="1:9" x14ac:dyDescent="0.25">
      <c r="D4" s="66"/>
      <c r="G4" s="45"/>
      <c r="H4" s="62"/>
      <c r="I4" s="62"/>
    </row>
    <row r="5" spans="1:9" x14ac:dyDescent="0.25">
      <c r="A5" t="s">
        <v>114</v>
      </c>
      <c r="B5">
        <v>2292</v>
      </c>
      <c r="C5" s="4">
        <v>12540</v>
      </c>
      <c r="D5" s="66">
        <f>'existing water'!D5</f>
        <v>14</v>
      </c>
      <c r="E5" s="3">
        <f>'existing water'!E5</f>
        <v>3.35</v>
      </c>
      <c r="F5" s="69">
        <f>'proposed water'!D5</f>
        <v>16</v>
      </c>
      <c r="G5" s="46">
        <f>'proposed water'!E5</f>
        <v>3.55</v>
      </c>
      <c r="H5" s="63">
        <f>(G5-E5)*(C5/B5)+(F5-D5)</f>
        <v>3.0942408376963337</v>
      </c>
      <c r="I5" s="63">
        <f>'Compare orig'!K3-'Compare orig'!J3</f>
        <v>3.8664772727272805</v>
      </c>
    </row>
    <row r="6" spans="1:9" x14ac:dyDescent="0.25">
      <c r="A6" t="s">
        <v>2</v>
      </c>
      <c r="B6">
        <v>21</v>
      </c>
      <c r="C6">
        <v>140</v>
      </c>
      <c r="D6" s="66">
        <f>'existing water'!D6</f>
        <v>17</v>
      </c>
      <c r="E6" s="3">
        <f>'existing water'!E6</f>
        <v>3.35</v>
      </c>
      <c r="F6" s="69">
        <f>'proposed water'!D6</f>
        <v>19</v>
      </c>
      <c r="G6" s="46">
        <f>'proposed water'!E6</f>
        <v>3.55</v>
      </c>
      <c r="H6" s="63">
        <f t="shared" ref="H6:H8" si="0">(G6-E6)*(C6/B6)+(F6-D6)</f>
        <v>3.3333333333333317</v>
      </c>
      <c r="I6" s="63">
        <f>'Compare orig'!K4-'Compare orig'!J4</f>
        <v>3.5227272727272805</v>
      </c>
    </row>
    <row r="7" spans="1:9" x14ac:dyDescent="0.25">
      <c r="A7" t="s">
        <v>115</v>
      </c>
      <c r="B7">
        <v>1</v>
      </c>
      <c r="C7">
        <v>11</v>
      </c>
      <c r="D7" s="66">
        <f>'existing water'!D7</f>
        <v>27</v>
      </c>
      <c r="E7" s="3">
        <f>'existing water'!E7</f>
        <v>3.35</v>
      </c>
      <c r="F7" s="69">
        <f>'proposed water'!D7</f>
        <v>30</v>
      </c>
      <c r="G7" s="46">
        <f>'proposed water'!E7</f>
        <v>3.55</v>
      </c>
      <c r="H7" s="63">
        <f t="shared" si="0"/>
        <v>5.1999999999999975</v>
      </c>
      <c r="I7" s="63">
        <f>'Compare orig'!K5-'Compare orig'!J5</f>
        <v>6.5</v>
      </c>
    </row>
    <row r="8" spans="1:9" x14ac:dyDescent="0.25">
      <c r="A8" t="s">
        <v>4</v>
      </c>
      <c r="B8">
        <v>2</v>
      </c>
      <c r="C8">
        <v>13</v>
      </c>
      <c r="D8" s="66">
        <f>'existing water'!D8</f>
        <v>43</v>
      </c>
      <c r="E8" s="3">
        <f>'existing water'!E8</f>
        <v>3.35</v>
      </c>
      <c r="F8" s="69">
        <f>'proposed water'!D8</f>
        <v>46</v>
      </c>
      <c r="G8" s="46">
        <f>'proposed water'!E8</f>
        <v>3.55</v>
      </c>
      <c r="H8" s="63">
        <f t="shared" si="0"/>
        <v>4.299999999999998</v>
      </c>
      <c r="I8" s="63">
        <f>'Compare orig'!K6-'Compare orig'!J6</f>
        <v>5.375</v>
      </c>
    </row>
    <row r="9" spans="1:9" x14ac:dyDescent="0.25">
      <c r="A9" s="10" t="s">
        <v>69</v>
      </c>
      <c r="B9" s="5">
        <f>SUM(B5:B8)</f>
        <v>2316</v>
      </c>
      <c r="C9" s="1"/>
      <c r="D9" s="66"/>
      <c r="E9" s="8"/>
      <c r="F9" s="69"/>
      <c r="G9" s="46"/>
      <c r="H9" s="62"/>
      <c r="I9" s="62"/>
    </row>
    <row r="10" spans="1:9" x14ac:dyDescent="0.25">
      <c r="A10" s="5"/>
      <c r="B10" s="5"/>
      <c r="C10" s="1"/>
      <c r="D10" s="66"/>
      <c r="E10" s="8"/>
      <c r="F10" s="69"/>
      <c r="G10" s="46"/>
      <c r="H10" s="62"/>
      <c r="I10" s="62"/>
    </row>
    <row r="11" spans="1:9" x14ac:dyDescent="0.25">
      <c r="A11" t="s">
        <v>5</v>
      </c>
      <c r="B11">
        <v>313</v>
      </c>
      <c r="C11">
        <v>1806</v>
      </c>
      <c r="D11" s="66">
        <f>'existing water'!D11</f>
        <v>14</v>
      </c>
      <c r="E11" s="3">
        <f>'existing water'!E11</f>
        <v>3.35</v>
      </c>
      <c r="F11" s="69">
        <f>'proposed water'!D11</f>
        <v>16</v>
      </c>
      <c r="G11" s="46">
        <f>'proposed water'!E11</f>
        <v>3.55</v>
      </c>
      <c r="H11" s="63">
        <f t="shared" ref="H11:H15" si="1">(G11-E11)*(C11/B11)+(F11-D11)</f>
        <v>3.1539936102236403</v>
      </c>
      <c r="I11" s="63">
        <f>'Compare orig'!K9-'Compare orig'!J9</f>
        <v>4.0155172413793068</v>
      </c>
    </row>
    <row r="12" spans="1:9" x14ac:dyDescent="0.25">
      <c r="A12" t="s">
        <v>6</v>
      </c>
      <c r="B12">
        <v>31</v>
      </c>
      <c r="C12">
        <v>303</v>
      </c>
      <c r="D12" s="66">
        <f>'existing water'!D12</f>
        <v>17</v>
      </c>
      <c r="E12" s="3">
        <f>'existing water'!E12</f>
        <v>3.35</v>
      </c>
      <c r="F12" s="69">
        <f>'proposed water'!D12</f>
        <v>19</v>
      </c>
      <c r="G12" s="46">
        <f>'proposed water'!E12</f>
        <v>3.55</v>
      </c>
      <c r="H12" s="63">
        <f t="shared" si="1"/>
        <v>3.9548387096774169</v>
      </c>
      <c r="I12" s="63">
        <f>'Compare orig'!K10-'Compare orig'!J10</f>
        <v>4.7946428571428612</v>
      </c>
    </row>
    <row r="13" spans="1:9" x14ac:dyDescent="0.25">
      <c r="A13" t="s">
        <v>7</v>
      </c>
      <c r="B13">
        <v>2</v>
      </c>
      <c r="C13">
        <v>21</v>
      </c>
      <c r="D13" s="66">
        <f>'existing water'!D13</f>
        <v>27</v>
      </c>
      <c r="E13" s="3">
        <f>'existing water'!E13</f>
        <v>3.35</v>
      </c>
      <c r="F13" s="69">
        <f>'proposed water'!D13</f>
        <v>30</v>
      </c>
      <c r="G13" s="46">
        <f>'proposed water'!E13</f>
        <v>3.55</v>
      </c>
      <c r="H13" s="63">
        <f t="shared" si="1"/>
        <v>5.099999999999997</v>
      </c>
      <c r="I13" s="63">
        <f>'Compare orig'!K11-'Compare orig'!J11</f>
        <v>6.375</v>
      </c>
    </row>
    <row r="14" spans="1:9" x14ac:dyDescent="0.25">
      <c r="A14" t="s">
        <v>8</v>
      </c>
      <c r="B14">
        <v>48</v>
      </c>
      <c r="C14">
        <v>2366</v>
      </c>
      <c r="D14" s="66">
        <f>'existing water'!D14</f>
        <v>43</v>
      </c>
      <c r="E14" s="3">
        <f>'existing water'!E14</f>
        <v>3.35</v>
      </c>
      <c r="F14" s="69">
        <f>'proposed water'!D14</f>
        <v>46</v>
      </c>
      <c r="G14" s="46">
        <f>'proposed water'!E14</f>
        <v>3.55</v>
      </c>
      <c r="H14" s="63">
        <f t="shared" si="1"/>
        <v>12.85833333333332</v>
      </c>
      <c r="I14" s="63">
        <f>'Compare orig'!K12-'Compare orig'!J12</f>
        <v>17.219512195121979</v>
      </c>
    </row>
    <row r="15" spans="1:9" x14ac:dyDescent="0.25">
      <c r="A15" t="s">
        <v>9</v>
      </c>
      <c r="B15">
        <v>1</v>
      </c>
      <c r="C15">
        <v>529</v>
      </c>
      <c r="D15" s="66">
        <f>'existing water'!D15</f>
        <v>80</v>
      </c>
      <c r="E15" s="3">
        <f>'existing water'!E15</f>
        <v>3.35</v>
      </c>
      <c r="F15" s="69">
        <f>'proposed water'!D15</f>
        <v>85</v>
      </c>
      <c r="G15" s="46">
        <f>'proposed water'!E15</f>
        <v>3.55</v>
      </c>
      <c r="H15" s="63">
        <f t="shared" si="1"/>
        <v>110.79999999999986</v>
      </c>
      <c r="I15" s="63">
        <f>'Compare orig'!K13-'Compare orig'!J13</f>
        <v>138.5</v>
      </c>
    </row>
    <row r="16" spans="1:9" x14ac:dyDescent="0.25">
      <c r="A16" s="10" t="s">
        <v>69</v>
      </c>
      <c r="B16" s="5">
        <f>SUM(B11:B15)</f>
        <v>395</v>
      </c>
      <c r="C16" s="1"/>
      <c r="D16" s="66"/>
      <c r="E16" s="8"/>
      <c r="F16" s="69"/>
      <c r="G16" s="46"/>
      <c r="H16" s="62"/>
      <c r="I16" s="62"/>
    </row>
    <row r="17" spans="1:9" x14ac:dyDescent="0.25">
      <c r="D17" s="66"/>
      <c r="E17" s="3"/>
      <c r="F17" s="69"/>
      <c r="G17" s="46"/>
      <c r="H17" s="62"/>
      <c r="I17" s="62"/>
    </row>
    <row r="18" spans="1:9" x14ac:dyDescent="0.25">
      <c r="A18" t="s">
        <v>10</v>
      </c>
      <c r="B18">
        <v>2</v>
      </c>
      <c r="C18">
        <v>2</v>
      </c>
      <c r="D18" s="66">
        <f>'existing water'!D18</f>
        <v>14</v>
      </c>
      <c r="E18" s="3">
        <f>'existing water'!E18</f>
        <v>2.95</v>
      </c>
      <c r="F18" s="69">
        <f>'proposed water'!D18</f>
        <v>16</v>
      </c>
      <c r="G18" s="46">
        <f>'proposed water'!E18</f>
        <v>3.15</v>
      </c>
      <c r="H18" s="63">
        <f t="shared" ref="H18:H25" si="2">(G18-E18)*(C18/B18)+(F18-D18)</f>
        <v>2.1999999999999997</v>
      </c>
      <c r="I18" s="63">
        <f>'Compare orig'!K16-'Compare orig'!J16</f>
        <v>2.75</v>
      </c>
    </row>
    <row r="19" spans="1:9" x14ac:dyDescent="0.25">
      <c r="A19" t="s">
        <v>51</v>
      </c>
      <c r="B19">
        <v>4</v>
      </c>
      <c r="C19">
        <v>11</v>
      </c>
      <c r="D19" s="66">
        <f>'existing water'!D19</f>
        <v>17</v>
      </c>
      <c r="E19" s="3">
        <f>'existing water'!E19</f>
        <v>2.95</v>
      </c>
      <c r="F19" s="69">
        <f>'proposed water'!D19</f>
        <v>19</v>
      </c>
      <c r="G19" s="46">
        <f>'proposed water'!E19</f>
        <v>3.15</v>
      </c>
      <c r="H19" s="63">
        <f t="shared" si="2"/>
        <v>2.5499999999999994</v>
      </c>
      <c r="I19" s="63">
        <f>'Compare orig'!K17-'Compare orig'!J17</f>
        <v>3.1875</v>
      </c>
    </row>
    <row r="20" spans="1:9" x14ac:dyDescent="0.25">
      <c r="A20" t="s">
        <v>11</v>
      </c>
      <c r="B20">
        <v>0</v>
      </c>
      <c r="C20">
        <v>0</v>
      </c>
      <c r="D20" s="66">
        <f>'existing water'!D20</f>
        <v>27</v>
      </c>
      <c r="E20" s="3">
        <f>'existing water'!E20</f>
        <v>2.95</v>
      </c>
      <c r="F20" s="69">
        <f>'proposed water'!D20</f>
        <v>30</v>
      </c>
      <c r="G20" s="46">
        <f>'proposed water'!E20</f>
        <v>3.15</v>
      </c>
      <c r="H20" s="63" t="e">
        <f t="shared" si="2"/>
        <v>#DIV/0!</v>
      </c>
      <c r="I20" s="63">
        <f>'Compare orig'!K18-'Compare orig'!J18</f>
        <v>0</v>
      </c>
    </row>
    <row r="21" spans="1:9" x14ac:dyDescent="0.25">
      <c r="A21" t="s">
        <v>12</v>
      </c>
      <c r="B21">
        <v>10</v>
      </c>
      <c r="C21">
        <v>2771</v>
      </c>
      <c r="D21" s="66">
        <f>'existing water'!D21</f>
        <v>43</v>
      </c>
      <c r="E21" s="3">
        <f>'existing water'!E21</f>
        <v>2.95</v>
      </c>
      <c r="F21" s="69">
        <f>'proposed water'!D21</f>
        <v>46</v>
      </c>
      <c r="G21" s="46">
        <f>'proposed water'!E21</f>
        <v>3.15</v>
      </c>
      <c r="H21" s="63">
        <f t="shared" si="2"/>
        <v>58.419999999999931</v>
      </c>
      <c r="I21" s="63">
        <f>'Compare orig'!K19-'Compare orig'!J19</f>
        <v>73.025000000000091</v>
      </c>
    </row>
    <row r="22" spans="1:9" x14ac:dyDescent="0.25">
      <c r="A22" t="s">
        <v>13</v>
      </c>
      <c r="B22">
        <v>0</v>
      </c>
      <c r="C22">
        <v>0</v>
      </c>
      <c r="D22" s="66">
        <f>'existing water'!D22</f>
        <v>80</v>
      </c>
      <c r="E22" s="3">
        <f>'existing water'!E22</f>
        <v>2.95</v>
      </c>
      <c r="F22" s="69">
        <f>'proposed water'!D22</f>
        <v>85</v>
      </c>
      <c r="G22" s="46">
        <f>'proposed water'!E22</f>
        <v>3.15</v>
      </c>
      <c r="H22" s="63" t="e">
        <f t="shared" si="2"/>
        <v>#DIV/0!</v>
      </c>
      <c r="I22" s="63">
        <f>'Compare orig'!K20-'Compare orig'!J20</f>
        <v>0</v>
      </c>
    </row>
    <row r="23" spans="1:9" x14ac:dyDescent="0.25">
      <c r="A23" t="s">
        <v>14</v>
      </c>
      <c r="B23">
        <v>0</v>
      </c>
      <c r="C23">
        <v>0</v>
      </c>
      <c r="D23" s="66">
        <f>'existing water'!D23</f>
        <v>110</v>
      </c>
      <c r="E23" s="3">
        <f>'existing water'!E23</f>
        <v>2.95</v>
      </c>
      <c r="F23" s="69">
        <f>'proposed water'!D23</f>
        <v>120</v>
      </c>
      <c r="G23" s="46">
        <f>'proposed water'!E23</f>
        <v>3.15</v>
      </c>
      <c r="H23" s="63" t="e">
        <f t="shared" si="2"/>
        <v>#DIV/0!</v>
      </c>
      <c r="I23" s="63">
        <f>'Compare orig'!K21-'Compare orig'!J21</f>
        <v>0</v>
      </c>
    </row>
    <row r="24" spans="1:9" x14ac:dyDescent="0.25">
      <c r="A24" t="s">
        <v>15</v>
      </c>
      <c r="B24">
        <v>2</v>
      </c>
      <c r="C24">
        <v>10</v>
      </c>
      <c r="D24" s="66">
        <f>'existing water'!D24</f>
        <v>252</v>
      </c>
      <c r="E24" s="3">
        <f>'existing water'!E24</f>
        <v>2.95</v>
      </c>
      <c r="F24" s="69">
        <f>'proposed water'!D24</f>
        <v>260</v>
      </c>
      <c r="G24" s="46">
        <f>'proposed water'!E24</f>
        <v>3.15</v>
      </c>
      <c r="H24" s="63">
        <f t="shared" si="2"/>
        <v>8.9999999999999982</v>
      </c>
      <c r="I24" s="63">
        <f>'Compare orig'!K22-'Compare orig'!J22</f>
        <v>11.25</v>
      </c>
    </row>
    <row r="25" spans="1:9" x14ac:dyDescent="0.25">
      <c r="A25" t="s">
        <v>116</v>
      </c>
      <c r="B25">
        <v>1</v>
      </c>
      <c r="C25">
        <v>5357</v>
      </c>
      <c r="D25" s="66">
        <f>'existing water'!D25</f>
        <v>450</v>
      </c>
      <c r="E25" s="3">
        <f>'existing water'!E25</f>
        <v>2.95</v>
      </c>
      <c r="F25" s="69">
        <f>'proposed water'!D25</f>
        <v>460</v>
      </c>
      <c r="G25" s="46">
        <f>'proposed water'!E25</f>
        <v>3.15</v>
      </c>
      <c r="H25" s="63">
        <f t="shared" si="2"/>
        <v>1081.3999999999985</v>
      </c>
      <c r="I25" s="63">
        <f>'Compare orig'!K23-'Compare orig'!J23</f>
        <v>1351.75</v>
      </c>
    </row>
    <row r="26" spans="1:9" x14ac:dyDescent="0.25">
      <c r="A26" s="10" t="s">
        <v>69</v>
      </c>
      <c r="B26" s="5">
        <f>SUM(B18:B25)</f>
        <v>19</v>
      </c>
      <c r="C26" s="5"/>
      <c r="D26" s="66"/>
      <c r="E26" s="9"/>
      <c r="F26" s="69"/>
      <c r="G26" s="46"/>
      <c r="H26" s="62"/>
      <c r="I26" s="62"/>
    </row>
    <row r="27" spans="1:9" x14ac:dyDescent="0.25">
      <c r="D27" s="66"/>
      <c r="E27" s="3"/>
      <c r="F27" s="69"/>
      <c r="G27" s="46"/>
      <c r="H27" s="62"/>
      <c r="I27" s="62"/>
    </row>
    <row r="28" spans="1:9" x14ac:dyDescent="0.25">
      <c r="A28" t="s">
        <v>17</v>
      </c>
      <c r="B28">
        <v>5</v>
      </c>
      <c r="C28">
        <v>40</v>
      </c>
      <c r="D28" s="66">
        <f>'existing water'!D28</f>
        <v>14</v>
      </c>
      <c r="E28" s="3">
        <f>'existing water'!E28</f>
        <v>3.35</v>
      </c>
      <c r="F28" s="69">
        <f>'proposed water'!D28</f>
        <v>16</v>
      </c>
      <c r="G28" s="46">
        <f>'proposed water'!E28</f>
        <v>3.55</v>
      </c>
      <c r="H28" s="63">
        <f t="shared" ref="H28" si="3">(G28-E28)*(C28/B28)+(F28-D28)</f>
        <v>3.5999999999999979</v>
      </c>
      <c r="I28" s="62">
        <v>0</v>
      </c>
    </row>
    <row r="29" spans="1:9" x14ac:dyDescent="0.25">
      <c r="D29" s="66"/>
      <c r="E29" s="3"/>
      <c r="F29" s="69"/>
      <c r="G29" s="46"/>
      <c r="H29" s="62"/>
      <c r="I29" s="62"/>
    </row>
    <row r="30" spans="1:9" x14ac:dyDescent="0.25">
      <c r="A30" s="27" t="s">
        <v>70</v>
      </c>
      <c r="B30" s="28">
        <f>SUM(B28,B26,B16,B9)</f>
        <v>2735</v>
      </c>
      <c r="C30" s="28"/>
      <c r="D30" s="66"/>
      <c r="E30" s="29"/>
      <c r="F30" s="69"/>
      <c r="G30" s="46"/>
      <c r="H30" s="62"/>
      <c r="I30" s="62"/>
    </row>
    <row r="31" spans="1:9" x14ac:dyDescent="0.25">
      <c r="A31" s="27"/>
      <c r="B31" s="28"/>
      <c r="C31" s="28"/>
      <c r="D31" s="66"/>
      <c r="E31" s="29"/>
      <c r="F31" s="69"/>
      <c r="G31" s="46"/>
      <c r="H31" s="62"/>
      <c r="I31" s="62"/>
    </row>
    <row r="32" spans="1:9" x14ac:dyDescent="0.25">
      <c r="D32" s="66"/>
      <c r="E32" s="3"/>
      <c r="F32" s="69"/>
      <c r="G32" s="46"/>
      <c r="H32" s="62"/>
      <c r="I32" s="62"/>
    </row>
    <row r="33" spans="1:13" x14ac:dyDescent="0.25">
      <c r="A33" t="s">
        <v>18</v>
      </c>
      <c r="B33">
        <v>3858</v>
      </c>
      <c r="C33">
        <v>17171</v>
      </c>
      <c r="D33" s="66">
        <f>'existing water'!D33</f>
        <v>21</v>
      </c>
      <c r="E33" s="3">
        <f>'existing water'!E33</f>
        <v>5.0250000000000004</v>
      </c>
      <c r="F33" s="69">
        <f>'proposed water'!D33</f>
        <v>24</v>
      </c>
      <c r="G33" s="46">
        <f>'proposed water'!E33</f>
        <v>5.3249999999999993</v>
      </c>
      <c r="H33" s="63">
        <f t="shared" ref="H33:H36" si="4">(G33-E33)*(C33/B33)+(F33-D33)</f>
        <v>4.3352255054432298</v>
      </c>
      <c r="I33" s="63">
        <f>'Compare orig'!K30-'Compare orig'!J30</f>
        <v>7.90625</v>
      </c>
    </row>
    <row r="34" spans="1:13" x14ac:dyDescent="0.25">
      <c r="A34" t="s">
        <v>19</v>
      </c>
      <c r="B34">
        <v>208</v>
      </c>
      <c r="C34">
        <v>1562</v>
      </c>
      <c r="D34" s="66">
        <f>'existing water'!D34</f>
        <v>25.5</v>
      </c>
      <c r="E34" s="3">
        <f>'existing water'!E34</f>
        <v>5.0250000000000004</v>
      </c>
      <c r="F34" s="69">
        <f>'proposed water'!D34</f>
        <v>28.5</v>
      </c>
      <c r="G34" s="46">
        <f>'proposed water'!E34</f>
        <v>5.3249999999999993</v>
      </c>
      <c r="H34" s="63">
        <f t="shared" si="4"/>
        <v>5.2528846153846072</v>
      </c>
      <c r="I34" s="63">
        <f>'Compare orig'!K31-'Compare orig'!J31</f>
        <v>0</v>
      </c>
    </row>
    <row r="35" spans="1:13" x14ac:dyDescent="0.25">
      <c r="A35" t="s">
        <v>20</v>
      </c>
      <c r="B35">
        <v>0</v>
      </c>
      <c r="C35">
        <v>0</v>
      </c>
      <c r="D35" s="66">
        <f>'existing water'!D35</f>
        <v>40.5</v>
      </c>
      <c r="E35" s="3">
        <f>'existing water'!E35</f>
        <v>5.0250000000000004</v>
      </c>
      <c r="F35" s="69">
        <f>'proposed water'!D35</f>
        <v>45</v>
      </c>
      <c r="G35" s="46">
        <f>'proposed water'!E35</f>
        <v>5.3249999999999993</v>
      </c>
      <c r="H35" s="63" t="e">
        <f t="shared" si="4"/>
        <v>#DIV/0!</v>
      </c>
      <c r="I35" s="63">
        <f>'Compare orig'!K32-'Compare orig'!J32</f>
        <v>0</v>
      </c>
    </row>
    <row r="36" spans="1:13" x14ac:dyDescent="0.25">
      <c r="A36" t="s">
        <v>21</v>
      </c>
      <c r="B36">
        <v>13</v>
      </c>
      <c r="C36">
        <v>434</v>
      </c>
      <c r="D36" s="66">
        <f>'existing water'!D36</f>
        <v>64.5</v>
      </c>
      <c r="E36" s="3">
        <f>'existing water'!E36</f>
        <v>5.0250000000000004</v>
      </c>
      <c r="F36" s="69">
        <f>'proposed water'!D36</f>
        <v>69</v>
      </c>
      <c r="G36" s="46">
        <f>'proposed water'!E36</f>
        <v>5.3249999999999993</v>
      </c>
      <c r="H36" s="63">
        <f t="shared" si="4"/>
        <v>14.51538461538458</v>
      </c>
      <c r="I36" s="63">
        <f>'Compare orig'!K33-'Compare orig'!J33</f>
        <v>0</v>
      </c>
    </row>
    <row r="37" spans="1:13" x14ac:dyDescent="0.25">
      <c r="A37" s="10" t="s">
        <v>69</v>
      </c>
      <c r="B37" s="5">
        <f>SUM(B33:B36)</f>
        <v>4079</v>
      </c>
      <c r="C37" s="5"/>
      <c r="D37" s="66"/>
      <c r="E37" s="9"/>
      <c r="F37" s="69"/>
      <c r="G37" s="46"/>
      <c r="H37" s="62"/>
      <c r="I37" s="62"/>
    </row>
    <row r="38" spans="1:13" x14ac:dyDescent="0.25">
      <c r="D38" s="66"/>
      <c r="E38" s="3"/>
      <c r="F38" s="69"/>
      <c r="G38" s="46"/>
      <c r="H38" s="62"/>
      <c r="I38" s="62"/>
    </row>
    <row r="39" spans="1:13" x14ac:dyDescent="0.25">
      <c r="A39" t="s">
        <v>22</v>
      </c>
      <c r="B39">
        <v>148</v>
      </c>
      <c r="C39">
        <v>822</v>
      </c>
      <c r="D39" s="66">
        <f>'existing water'!D39</f>
        <v>21</v>
      </c>
      <c r="E39" s="3">
        <f>'existing water'!E39</f>
        <v>5.0250000000000004</v>
      </c>
      <c r="F39" s="69">
        <f>'proposed water'!D39</f>
        <v>24</v>
      </c>
      <c r="G39" s="46">
        <f>'proposed water'!E39</f>
        <v>5.3249999999999993</v>
      </c>
      <c r="H39" s="63">
        <f t="shared" ref="H39:H45" si="5">(G39-E39)*(C39/B39)+(F39-D39)</f>
        <v>4.6662162162162106</v>
      </c>
      <c r="I39" s="63">
        <f>'Compare orig'!K36-'Compare orig'!J36</f>
        <v>7.21875</v>
      </c>
    </row>
    <row r="40" spans="1:13" x14ac:dyDescent="0.25">
      <c r="A40" t="s">
        <v>23</v>
      </c>
      <c r="B40">
        <v>23</v>
      </c>
      <c r="C40">
        <v>387</v>
      </c>
      <c r="D40" s="66">
        <f>'existing water'!D40</f>
        <v>25.5</v>
      </c>
      <c r="E40" s="3">
        <f>'existing water'!E40</f>
        <v>5.0250000000000004</v>
      </c>
      <c r="F40" s="69">
        <f>'proposed water'!D40</f>
        <v>28.5</v>
      </c>
      <c r="G40" s="46">
        <f>'proposed water'!E40</f>
        <v>5.3249999999999993</v>
      </c>
      <c r="H40" s="63">
        <f t="shared" si="5"/>
        <v>8.0478260869565048</v>
      </c>
      <c r="I40" s="63">
        <f>'Compare orig'!K37-'Compare orig'!J37</f>
        <v>7.8749999999999858</v>
      </c>
      <c r="K40" s="43"/>
      <c r="L40" s="70"/>
      <c r="M40" s="38"/>
    </row>
    <row r="41" spans="1:13" x14ac:dyDescent="0.25">
      <c r="A41" t="s">
        <v>24</v>
      </c>
      <c r="B41">
        <v>0</v>
      </c>
      <c r="C41">
        <v>0</v>
      </c>
      <c r="D41" s="66">
        <f>'existing water'!D41</f>
        <v>40.5</v>
      </c>
      <c r="E41" s="3">
        <f>'existing water'!E41</f>
        <v>5.0250000000000004</v>
      </c>
      <c r="F41" s="69">
        <f>'proposed water'!D41</f>
        <v>45</v>
      </c>
      <c r="G41" s="46">
        <f>'proposed water'!E41</f>
        <v>5.3249999999999993</v>
      </c>
      <c r="H41" s="63" t="e">
        <f t="shared" si="5"/>
        <v>#DIV/0!</v>
      </c>
      <c r="I41" s="63">
        <f>'Compare orig'!K38-'Compare orig'!J38</f>
        <v>0</v>
      </c>
      <c r="K41" s="71"/>
    </row>
    <row r="42" spans="1:13" x14ac:dyDescent="0.25">
      <c r="A42" t="s">
        <v>25</v>
      </c>
      <c r="B42">
        <v>25</v>
      </c>
      <c r="C42">
        <v>1323</v>
      </c>
      <c r="D42" s="66">
        <f>'existing water'!D42</f>
        <v>64.5</v>
      </c>
      <c r="E42" s="3">
        <f>'existing water'!E42</f>
        <v>5.0250000000000004</v>
      </c>
      <c r="F42" s="69">
        <f>'proposed water'!D42</f>
        <v>69</v>
      </c>
      <c r="G42" s="46">
        <f>'proposed water'!E42</f>
        <v>5.3249999999999993</v>
      </c>
      <c r="H42" s="63">
        <f t="shared" si="5"/>
        <v>20.375999999999944</v>
      </c>
      <c r="I42" s="63">
        <f>'Compare orig'!K39-'Compare orig'!J39</f>
        <v>32.625</v>
      </c>
    </row>
    <row r="43" spans="1:13" x14ac:dyDescent="0.25">
      <c r="A43" t="s">
        <v>26</v>
      </c>
      <c r="B43">
        <v>1</v>
      </c>
      <c r="C43">
        <v>18</v>
      </c>
      <c r="D43" s="66">
        <f>'existing water'!D43</f>
        <v>120</v>
      </c>
      <c r="E43" s="3">
        <f>'existing water'!E43</f>
        <v>5.0250000000000004</v>
      </c>
      <c r="F43" s="69">
        <f>'proposed water'!D43</f>
        <v>127.5</v>
      </c>
      <c r="G43" s="46">
        <f>'proposed water'!E43</f>
        <v>5.3249999999999993</v>
      </c>
      <c r="H43" s="63">
        <f t="shared" si="5"/>
        <v>12.899999999999981</v>
      </c>
      <c r="I43" s="63">
        <f>'Compare orig'!K40-'Compare orig'!J40</f>
        <v>0</v>
      </c>
    </row>
    <row r="44" spans="1:13" x14ac:dyDescent="0.25">
      <c r="A44" t="s">
        <v>27</v>
      </c>
      <c r="B44">
        <v>0</v>
      </c>
      <c r="C44">
        <v>0</v>
      </c>
      <c r="D44" s="66">
        <f>'existing water'!D44</f>
        <v>213.6</v>
      </c>
      <c r="E44" s="3">
        <f>'existing water'!E44</f>
        <v>5.0250000000000004</v>
      </c>
      <c r="F44" s="69">
        <f>'proposed water'!D44</f>
        <v>226.95000000000002</v>
      </c>
      <c r="G44" s="46">
        <f>'proposed water'!E44</f>
        <v>5.33</v>
      </c>
      <c r="H44" s="63" t="e">
        <f t="shared" si="5"/>
        <v>#DIV/0!</v>
      </c>
      <c r="I44" s="63">
        <f>'Compare orig'!K41-'Compare orig'!J41</f>
        <v>0</v>
      </c>
    </row>
    <row r="45" spans="1:13" x14ac:dyDescent="0.25">
      <c r="A45" t="s">
        <v>28</v>
      </c>
      <c r="B45">
        <v>4</v>
      </c>
      <c r="C45">
        <v>14</v>
      </c>
      <c r="D45" s="66">
        <f>'existing water'!D45</f>
        <v>427.2</v>
      </c>
      <c r="E45" s="3">
        <f>'existing water'!E45</f>
        <v>5.0250000000000004</v>
      </c>
      <c r="F45" s="69">
        <f>'proposed water'!D45</f>
        <v>453.90000000000003</v>
      </c>
      <c r="G45" s="46">
        <f>'proposed water'!E45</f>
        <v>5.33</v>
      </c>
      <c r="H45" s="63">
        <f t="shared" si="5"/>
        <v>27.767500000000044</v>
      </c>
      <c r="I45" s="63">
        <f>'Compare orig'!K42-'Compare orig'!J42</f>
        <v>0</v>
      </c>
    </row>
    <row r="46" spans="1:13" x14ac:dyDescent="0.25">
      <c r="A46" t="s">
        <v>250</v>
      </c>
      <c r="B46">
        <v>1</v>
      </c>
      <c r="C46">
        <v>5</v>
      </c>
      <c r="D46" s="66">
        <f>'existing water'!D46</f>
        <v>747.6</v>
      </c>
      <c r="E46" s="3">
        <f>'existing water'!E46</f>
        <v>5.0250000000000004</v>
      </c>
      <c r="F46" s="69">
        <f>'proposed water'!D46</f>
        <v>794.32500000000005</v>
      </c>
      <c r="G46" s="46">
        <f>'proposed water'!E46</f>
        <v>5.33</v>
      </c>
      <c r="H46" s="63">
        <f t="shared" ref="H46" si="6">(G46-E46)*(C46/B46)+(F46-D46)</f>
        <v>48.250000000000021</v>
      </c>
      <c r="I46" s="63">
        <f>'Compare orig'!K43-'Compare orig'!J43</f>
        <v>0</v>
      </c>
    </row>
    <row r="47" spans="1:13" x14ac:dyDescent="0.25">
      <c r="A47" s="11" t="s">
        <v>69</v>
      </c>
      <c r="B47" s="6">
        <v>201</v>
      </c>
      <c r="C47" s="6"/>
      <c r="D47" s="66"/>
      <c r="E47" s="7"/>
      <c r="F47" s="69"/>
      <c r="G47" s="46"/>
      <c r="H47" s="62"/>
      <c r="I47" s="62"/>
    </row>
    <row r="48" spans="1:13" x14ac:dyDescent="0.25">
      <c r="D48" s="66"/>
      <c r="E48" s="3"/>
      <c r="F48" s="69"/>
      <c r="G48" s="46"/>
      <c r="H48" s="62"/>
      <c r="I48" s="62"/>
    </row>
    <row r="49" spans="1:9" x14ac:dyDescent="0.25">
      <c r="A49" t="s">
        <v>29</v>
      </c>
      <c r="B49">
        <v>0</v>
      </c>
      <c r="C49">
        <v>0</v>
      </c>
      <c r="D49" s="66">
        <f>'existing water'!D49</f>
        <v>23.1</v>
      </c>
      <c r="E49" s="3">
        <f>'existing water'!E49</f>
        <v>3.75</v>
      </c>
      <c r="F49" s="69">
        <f>'proposed water'!D49</f>
        <v>26.400000000000002</v>
      </c>
      <c r="G49" s="46">
        <f>'proposed water'!E49</f>
        <v>3.95</v>
      </c>
      <c r="H49" s="63" t="e">
        <f t="shared" ref="H49:H56" si="7">(G49-E49)*(C49/B49)+(F49-D49)</f>
        <v>#DIV/0!</v>
      </c>
      <c r="I49" s="63">
        <f>'Compare orig'!K46-'Compare orig'!J46</f>
        <v>0</v>
      </c>
    </row>
    <row r="50" spans="1:9" x14ac:dyDescent="0.25">
      <c r="A50" t="s">
        <v>30</v>
      </c>
      <c r="B50">
        <v>0</v>
      </c>
      <c r="C50">
        <v>0</v>
      </c>
      <c r="D50" s="66">
        <f>'existing water'!D50</f>
        <v>28.05</v>
      </c>
      <c r="E50" s="3">
        <f>'existing water'!E50</f>
        <v>3.75</v>
      </c>
      <c r="F50" s="69">
        <f>'proposed water'!D50</f>
        <v>31.35</v>
      </c>
      <c r="G50" s="46">
        <f>'proposed water'!E50</f>
        <v>3.95</v>
      </c>
      <c r="H50" s="63" t="e">
        <f t="shared" si="7"/>
        <v>#DIV/0!</v>
      </c>
      <c r="I50" s="63">
        <f>'Compare orig'!K47-'Compare orig'!J47</f>
        <v>0</v>
      </c>
    </row>
    <row r="51" spans="1:9" x14ac:dyDescent="0.25">
      <c r="A51" t="s">
        <v>31</v>
      </c>
      <c r="B51">
        <v>1</v>
      </c>
      <c r="C51">
        <v>5</v>
      </c>
      <c r="D51" s="66">
        <f>'existing water'!D51</f>
        <v>44.550000000000004</v>
      </c>
      <c r="E51" s="3">
        <f>'existing water'!E51</f>
        <v>3.75</v>
      </c>
      <c r="F51" s="69">
        <f>'proposed water'!D51</f>
        <v>49.500000000000007</v>
      </c>
      <c r="G51" s="46">
        <f>'proposed water'!E51</f>
        <v>3.95</v>
      </c>
      <c r="H51" s="63">
        <f t="shared" si="7"/>
        <v>5.9500000000000037</v>
      </c>
      <c r="I51" s="63">
        <f>'Compare orig'!K48-'Compare orig'!J48</f>
        <v>0</v>
      </c>
    </row>
    <row r="52" spans="1:9" x14ac:dyDescent="0.25">
      <c r="A52" t="s">
        <v>32</v>
      </c>
      <c r="B52">
        <v>0</v>
      </c>
      <c r="C52">
        <v>0</v>
      </c>
      <c r="D52" s="66">
        <f>'existing water'!D52</f>
        <v>70.95</v>
      </c>
      <c r="E52" s="3">
        <f>'existing water'!E52</f>
        <v>3.75</v>
      </c>
      <c r="F52" s="69">
        <f>'proposed water'!D52</f>
        <v>75.900000000000006</v>
      </c>
      <c r="G52" s="46">
        <f>'proposed water'!E52</f>
        <v>3.95</v>
      </c>
      <c r="H52" s="63" t="e">
        <f t="shared" si="7"/>
        <v>#DIV/0!</v>
      </c>
      <c r="I52" s="63">
        <f>'Compare orig'!K49-'Compare orig'!J49</f>
        <v>0</v>
      </c>
    </row>
    <row r="53" spans="1:9" x14ac:dyDescent="0.25">
      <c r="A53" t="s">
        <v>247</v>
      </c>
      <c r="B53">
        <v>1</v>
      </c>
      <c r="C53">
        <v>272</v>
      </c>
      <c r="D53" s="66">
        <f>'existing water'!D53</f>
        <v>132</v>
      </c>
      <c r="E53" s="3">
        <f>'existing water'!E54</f>
        <v>3.75</v>
      </c>
      <c r="F53" s="69">
        <f>'proposed water'!D53</f>
        <v>140.25</v>
      </c>
      <c r="G53" s="46">
        <f>'proposed water'!E53</f>
        <v>3.95</v>
      </c>
      <c r="H53" s="63">
        <f t="shared" si="7"/>
        <v>62.650000000000048</v>
      </c>
      <c r="I53" s="63">
        <f>'Compare orig'!K50-'Compare orig'!J50</f>
        <v>78.3125</v>
      </c>
    </row>
    <row r="54" spans="1:9" x14ac:dyDescent="0.25">
      <c r="A54" t="s">
        <v>33</v>
      </c>
      <c r="B54">
        <v>0</v>
      </c>
      <c r="C54">
        <v>0</v>
      </c>
      <c r="D54" s="66">
        <f>'existing water'!D54</f>
        <v>181.50000000000003</v>
      </c>
      <c r="E54" s="3">
        <f>'existing water'!E54</f>
        <v>3.75</v>
      </c>
      <c r="F54" s="69">
        <f>'proposed water'!D54</f>
        <v>198.00000000000003</v>
      </c>
      <c r="G54" s="46">
        <f>'proposed water'!E54</f>
        <v>3.95</v>
      </c>
      <c r="H54" s="63" t="e">
        <f t="shared" si="7"/>
        <v>#DIV/0!</v>
      </c>
      <c r="I54" s="63">
        <f>'Compare orig'!K51-'Compare orig'!J51</f>
        <v>0</v>
      </c>
    </row>
    <row r="55" spans="1:9" x14ac:dyDescent="0.25">
      <c r="A55" t="s">
        <v>34</v>
      </c>
      <c r="B55">
        <v>1</v>
      </c>
      <c r="C55">
        <v>2000</v>
      </c>
      <c r="D55" s="66">
        <f>'existing water'!D55</f>
        <v>415.8</v>
      </c>
      <c r="E55" s="3">
        <f>'existing water'!E55</f>
        <v>3.75</v>
      </c>
      <c r="F55" s="69">
        <f>'proposed water'!D55</f>
        <v>429.00000000000006</v>
      </c>
      <c r="G55" s="46">
        <f>'proposed water'!E55</f>
        <v>3.95</v>
      </c>
      <c r="H55" s="63">
        <f t="shared" si="7"/>
        <v>413.20000000000039</v>
      </c>
      <c r="I55" s="63">
        <f>'Compare orig'!K52-'Compare orig'!J52</f>
        <v>0</v>
      </c>
    </row>
    <row r="56" spans="1:9" x14ac:dyDescent="0.25">
      <c r="A56" t="s">
        <v>35</v>
      </c>
      <c r="B56">
        <v>3</v>
      </c>
      <c r="C56">
        <v>5395</v>
      </c>
      <c r="D56" s="66">
        <f>'existing water'!D56</f>
        <v>742.50000000000011</v>
      </c>
      <c r="E56" s="3">
        <f>'existing water'!E56</f>
        <v>3.75</v>
      </c>
      <c r="F56" s="69">
        <f>'proposed water'!D56</f>
        <v>759.00000000000011</v>
      </c>
      <c r="G56" s="46">
        <f>'proposed water'!E56</f>
        <v>3.95</v>
      </c>
      <c r="H56" s="63">
        <f t="shared" si="7"/>
        <v>376.16666666666697</v>
      </c>
      <c r="I56" s="63">
        <f>'Compare orig'!K53-'Compare orig'!J53</f>
        <v>470.20833333333212</v>
      </c>
    </row>
    <row r="57" spans="1:9" x14ac:dyDescent="0.25">
      <c r="A57" s="11" t="s">
        <v>69</v>
      </c>
      <c r="B57" s="6">
        <f>SUM(B49:B56)</f>
        <v>6</v>
      </c>
      <c r="C57" s="6"/>
      <c r="D57" s="66"/>
      <c r="E57" s="7"/>
      <c r="G57" s="45"/>
    </row>
    <row r="58" spans="1:9" x14ac:dyDescent="0.25">
      <c r="D58" s="66"/>
      <c r="E58" s="3"/>
      <c r="G58" s="45"/>
    </row>
    <row r="59" spans="1:9" x14ac:dyDescent="0.25">
      <c r="A59" s="27" t="s">
        <v>72</v>
      </c>
      <c r="B59" s="30">
        <f>SUM(B57,B47,B37,)</f>
        <v>4286</v>
      </c>
      <c r="C59" s="30"/>
      <c r="D59" s="66"/>
      <c r="E59" s="31"/>
      <c r="G59" s="45"/>
    </row>
    <row r="60" spans="1:9" x14ac:dyDescent="0.25">
      <c r="D60" s="66"/>
      <c r="E60" s="3"/>
      <c r="G60" s="45"/>
    </row>
    <row r="61" spans="1:9" x14ac:dyDescent="0.25">
      <c r="A61" s="16" t="s">
        <v>86</v>
      </c>
      <c r="B61" s="13">
        <f>SUM(B59,B30)</f>
        <v>7021</v>
      </c>
      <c r="C61" s="13"/>
      <c r="E61" s="14"/>
      <c r="G61" s="45"/>
    </row>
  </sheetData>
  <pageMargins left="0.25" right="0.25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Comparison</vt:lpstr>
      <vt:lpstr>existing sewer</vt:lpstr>
      <vt:lpstr>Hydraulic flow</vt:lpstr>
      <vt:lpstr>proposed water</vt:lpstr>
      <vt:lpstr>proposed sewer</vt:lpstr>
      <vt:lpstr>Compare orig</vt:lpstr>
      <vt:lpstr>existing water</vt:lpstr>
      <vt:lpstr>Current vs new</vt:lpstr>
      <vt:lpstr>'Compare orig'!Print_Area</vt:lpstr>
      <vt:lpstr>'Current vs new'!Print_Titles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jshattuck</dc:creator>
  <cp:lastModifiedBy>David Hamilton</cp:lastModifiedBy>
  <cp:lastPrinted>2026-04-02T15:46:55Z</cp:lastPrinted>
  <dcterms:created xsi:type="dcterms:W3CDTF">2015-10-12T20:48:40Z</dcterms:created>
  <dcterms:modified xsi:type="dcterms:W3CDTF">2026-04-02T15:47:14Z</dcterms:modified>
</cp:coreProperties>
</file>